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IS" sheetId="1" r:id="rId1"/>
    <sheet name="BS" sheetId="2" r:id="rId2"/>
    <sheet name="CF" sheetId="3" r:id="rId3"/>
    <sheet name="ES" sheetId="4" r:id="rId4"/>
    <sheet name="Sheet6" sheetId="5" r:id="rId5"/>
    <sheet name="Sheet5" sheetId="6" r:id="rId6"/>
    <sheet name="Sheet4" sheetId="7" r:id="rId7"/>
    <sheet name="Sheet3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">'BS'!$A$1:$F$78</definedName>
    <definedName name="_xlnm.Print_Area" localSheetId="2">'CF'!$A$1:$I$86</definedName>
    <definedName name="_xlnm.Print_Area" localSheetId="3">'ES'!$A$1:$H$47</definedName>
    <definedName name="_xlnm.Print_Area" localSheetId="0">'IS'!$A$1:$I$43</definedName>
  </definedNames>
  <calcPr fullCalcOnLoad="1"/>
</workbook>
</file>

<file path=xl/sharedStrings.xml><?xml version="1.0" encoding="utf-8"?>
<sst xmlns="http://schemas.openxmlformats.org/spreadsheetml/2006/main" count="219" uniqueCount="169">
  <si>
    <t>FORMOSA PROSONIC INDUSTRIES BERHAD (172312-K)</t>
  </si>
  <si>
    <t>Revenue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</si>
  <si>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</si>
  <si>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</si>
  <si>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</si>
  <si>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</si>
  <si>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</si>
  <si>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</si>
  <si>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Finance costs</t>
  </si>
  <si>
    <t>Share of results of an associated company</t>
  </si>
  <si>
    <t>Profit before taxation</t>
  </si>
  <si>
    <t>Taxation</t>
  </si>
  <si>
    <t>Minority interests</t>
  </si>
  <si>
    <t>Individual Quarter</t>
  </si>
  <si>
    <t>Cumulative Quarter</t>
  </si>
  <si>
    <t>Current Year Quarter</t>
  </si>
  <si>
    <t>Current Year-To-Date</t>
  </si>
  <si>
    <t>Preceding Year Corresponding Period</t>
  </si>
  <si>
    <t>RM'000</t>
  </si>
  <si>
    <t>PROPERTY, PLANT &amp; EQUIPMENT</t>
  </si>
  <si>
    <t>INTANGIBLE ASSETS</t>
  </si>
  <si>
    <t>INTEREST IN SUBSIDIARY COMPANIES</t>
  </si>
  <si>
    <t>GOODWILL ON CONSOLIDATION</t>
  </si>
  <si>
    <t>CURRENT ASSETS</t>
  </si>
  <si>
    <t>Inventories</t>
  </si>
  <si>
    <t>Amount owing to a corporate shareholder</t>
  </si>
  <si>
    <t>Tax recoverable</t>
  </si>
  <si>
    <t>Amount due from subsidiary companies</t>
  </si>
  <si>
    <t>Amount due from associated company</t>
  </si>
  <si>
    <t>Investment</t>
  </si>
  <si>
    <t>Amount due from holding company</t>
  </si>
  <si>
    <t>Cash and bank balances</t>
  </si>
  <si>
    <t>CURRENT LIABILITIES</t>
  </si>
  <si>
    <t xml:space="preserve"> Amount due to holding companies</t>
  </si>
  <si>
    <t>Amount due to related companies</t>
  </si>
  <si>
    <t>Amount owing to a director</t>
  </si>
  <si>
    <t>Hire purchase creditors</t>
  </si>
  <si>
    <t>Borrowings (secured)</t>
  </si>
  <si>
    <t>Bank Overdraft</t>
  </si>
  <si>
    <t>Proposed dividend</t>
  </si>
  <si>
    <t>FINANCED BY</t>
  </si>
  <si>
    <t>SHARE CAPITAL</t>
  </si>
  <si>
    <t>RESERVES</t>
  </si>
  <si>
    <t>Share Premium</t>
  </si>
  <si>
    <t>Capital Reserve</t>
  </si>
  <si>
    <t>Revaluation Reserve</t>
  </si>
  <si>
    <t>Preference Share Dividends</t>
  </si>
  <si>
    <t>Foreign Exchange Reserve</t>
  </si>
  <si>
    <t>Retained Profits</t>
  </si>
  <si>
    <t>SHAREHOLDERS' FUNDS</t>
  </si>
  <si>
    <t>MINORITY INTEREST</t>
  </si>
  <si>
    <t>LONG TERM AND DEFERRED LIABILITIES</t>
  </si>
  <si>
    <t>Deferred taxation</t>
  </si>
  <si>
    <t>As at end of current quarter</t>
  </si>
  <si>
    <t>As at preceding financial year end</t>
  </si>
  <si>
    <t xml:space="preserve"> </t>
  </si>
  <si>
    <t>CASH FLOWS FROM OPERATING ACTIVITIES</t>
  </si>
  <si>
    <t>Adjustment for:</t>
  </si>
  <si>
    <t>Depreciation of property, plant and equipment</t>
  </si>
  <si>
    <t>Property, plant and equipment written off</t>
  </si>
  <si>
    <t>Interest expenses</t>
  </si>
  <si>
    <t>Interest income</t>
  </si>
  <si>
    <t>Amortisation of intangible assets</t>
  </si>
  <si>
    <t>- goodwill</t>
  </si>
  <si>
    <t>- computer software</t>
  </si>
  <si>
    <t>Unrealised loss on foreign exchange</t>
  </si>
  <si>
    <t>Interest paid</t>
  </si>
  <si>
    <t>Tax paid - after utilisation of the tax recoverable (within current assets)</t>
  </si>
  <si>
    <t>CASH FLOWS FROM INVESTING ACTIVITIES</t>
  </si>
  <si>
    <t>Acquisition of shares from a minority shareholder in a subsidiary company</t>
  </si>
  <si>
    <t>Interest received</t>
  </si>
  <si>
    <t>Purchase of property, plant and equipment</t>
  </si>
  <si>
    <t>Purchase of intangible assets</t>
  </si>
  <si>
    <t>Purchase of quoted investment in Malaysia</t>
  </si>
  <si>
    <t>Proceeds from disposal of property, plant and equipment</t>
  </si>
  <si>
    <t>CASH FLOWS FROM FINANCING ACTIVITIES</t>
  </si>
  <si>
    <t>Payment of interest expenses</t>
  </si>
  <si>
    <t>Repayment of hire purchase and lease liabilities</t>
  </si>
  <si>
    <t>Dividend paid</t>
  </si>
  <si>
    <t>EXCHANGE DIFFERENCE</t>
  </si>
  <si>
    <t>As previously reported</t>
  </si>
  <si>
    <t>Foreign exchange differences on opening balances</t>
  </si>
  <si>
    <t>Share capital</t>
  </si>
  <si>
    <t>Share premium</t>
  </si>
  <si>
    <t>Capital reserve</t>
  </si>
  <si>
    <t>Property revaluation surplus</t>
  </si>
  <si>
    <t>Exchange fluctuation reserve</t>
  </si>
  <si>
    <t>Retained profits</t>
  </si>
  <si>
    <t>Total</t>
  </si>
  <si>
    <t>Currency translation difference</t>
  </si>
  <si>
    <t>the income statement</t>
  </si>
  <si>
    <t>Dividends</t>
  </si>
  <si>
    <t>Preceding Year Corresponding Quarter</t>
  </si>
  <si>
    <t>Goodwill amortisation RM 2,361,620</t>
  </si>
  <si>
    <t>Fixed deposit with licensed banks</t>
  </si>
  <si>
    <t>The Condensed Consolidated Balance Sheet should be read in conjunction with the Annual</t>
  </si>
  <si>
    <t>NET CURRENT ASSETS</t>
  </si>
  <si>
    <t>The Condensed Consolidated Cash Flow Statement should be read in conjunction with the Annual</t>
  </si>
  <si>
    <t>The Condensed Consolidated Income Statement should be read in conjunction with the Annual</t>
  </si>
  <si>
    <t>Unrealised gain on foreign exchange</t>
  </si>
  <si>
    <t>Repayment of term loans</t>
  </si>
  <si>
    <t>Increase in short term borrowings</t>
  </si>
  <si>
    <t>(The figures have not been audited)</t>
  </si>
  <si>
    <t>CASH AND CASH EQUIVALENTS AT BEGINNING OF FINANCIAL PERIOD</t>
  </si>
  <si>
    <t>CASH AND CASH EQUIVALENTS AT END OF FINANCIAL PERIOD</t>
  </si>
  <si>
    <t>Net tangible assets per share  (RM)</t>
  </si>
  <si>
    <t>The Condensed Consolidated Statement of Changes in Equity should be read in conjunction with the Annual Financial Report for the Year</t>
  </si>
  <si>
    <t>Interest Income</t>
  </si>
  <si>
    <t>Interest Expenses</t>
  </si>
  <si>
    <t>31/03/2003</t>
  </si>
  <si>
    <t>Balance as at 31 March 2003</t>
  </si>
  <si>
    <t>31/12/2002</t>
  </si>
  <si>
    <t>Amount due to subsidiary companies</t>
  </si>
  <si>
    <t>YR2002</t>
  </si>
  <si>
    <t>Acquisition of an associate company - cash acquisition</t>
  </si>
  <si>
    <t>INTEREST IN AN ASSOCIATED COMPANY</t>
  </si>
  <si>
    <t>Trade receivables</t>
  </si>
  <si>
    <t>Other receivables, deposits and prepayments</t>
  </si>
  <si>
    <t>Trade payables</t>
  </si>
  <si>
    <t>Other payables and accruals</t>
  </si>
  <si>
    <t>INVESTMENT</t>
  </si>
  <si>
    <t>30/06/2002</t>
  </si>
  <si>
    <t>30/09/2002</t>
  </si>
  <si>
    <t>Financial Report for the Year Ended 31 March 2003.</t>
  </si>
  <si>
    <t>ended 31 March 2003</t>
  </si>
  <si>
    <t>(b) Fully diluted</t>
  </si>
  <si>
    <t>Issue of shares arising from ESOS</t>
  </si>
  <si>
    <t>(Increase)/Decrease in inventories</t>
  </si>
  <si>
    <t>Balance as at 31 March 2002</t>
  </si>
  <si>
    <t>Net profit for the financial period</t>
  </si>
  <si>
    <t>Proceeds from issue of shares</t>
  </si>
  <si>
    <t>Operating profit before working capital changes</t>
  </si>
  <si>
    <t>Earnings per share (sen)</t>
  </si>
  <si>
    <t>(a) Basic</t>
  </si>
  <si>
    <t>NET (DECREASE)/INCREASE IN CASH AND CASH EQUIVALENTS</t>
  </si>
  <si>
    <t>31/12/2003</t>
  </si>
  <si>
    <t>Net gain on disposal of property, plant and equipment</t>
  </si>
  <si>
    <t>(Increase)/Decrease in trade receivables</t>
  </si>
  <si>
    <t>(Increase)/Decrease in other receivables, deposits and prepayments</t>
  </si>
  <si>
    <t>Increase/(Decrease) in trade payables</t>
  </si>
  <si>
    <t>Net gain not recognised in</t>
  </si>
  <si>
    <t>CONDENSED CONSOLIDATED INCOME STATEMENTS FOR THE QUARTER</t>
  </si>
  <si>
    <t>QUARTER ENDED 31 MARCH 2004</t>
  </si>
  <si>
    <t>ENDED 31 MARCH 2004</t>
  </si>
  <si>
    <t>31/03/2004</t>
  </si>
  <si>
    <t>CONDENSED CONSOLIDATED BALANCE SHEET AS AT 31 MARCH 2004</t>
  </si>
  <si>
    <t>CONDENSED CONSOLIDATED CASH FLOW STATEMENT FOR THE QUARTER ENDED 31 MARCH 2004</t>
  </si>
  <si>
    <t>Provision for diminution in value of investment no longer required</t>
  </si>
  <si>
    <t>Bad debts written off</t>
  </si>
  <si>
    <t>Acquisition of a subsidiary company</t>
  </si>
  <si>
    <t>CONDENSED CONSOLIDATED STATEMENT OF CHANGES IN EQUITY FOR THE QUARTER ENDED 31 MARCH 2004</t>
  </si>
  <si>
    <t>Balance as at 31 March 2004</t>
  </si>
  <si>
    <t>Decrease in share of net assets of a subsidiary company</t>
  </si>
  <si>
    <t>upon issuance of new shares</t>
  </si>
  <si>
    <t>INTERIM REPORT ON CONSOLIDATED RESULTS FOR THE FOURTH</t>
  </si>
  <si>
    <t>INTERIM REPORT ON CONSOLIDATED RESULTS FOR THE FOURTH QUARTER</t>
  </si>
  <si>
    <t>INTERIM REPORT ON CONSOLIDATED RESULTS FOR THE FOURTH QUARTER ENDED 31 MARCH 2004</t>
  </si>
  <si>
    <t>DEFERRED TAX ASSETS</t>
  </si>
  <si>
    <t>(Decrease)/Increase in other payables and accruals</t>
  </si>
  <si>
    <t>Cash generated from operations</t>
  </si>
  <si>
    <t>Net cash from operating activities</t>
  </si>
  <si>
    <t>Dividend income</t>
  </si>
  <si>
    <t>Dividend received</t>
  </si>
  <si>
    <t>Net cash used in investing activities</t>
  </si>
  <si>
    <t>Net cash used in financing activities</t>
  </si>
  <si>
    <t>(Loss)/Profit from operations</t>
  </si>
  <si>
    <t>Profit/(Loss) before taxation</t>
  </si>
  <si>
    <t>Profit/(Loss) after taxation</t>
  </si>
  <si>
    <t>Net profit/(loss) for the period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</si>
</sst>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%"/>
    <numFmt numFmtId="179" formatCode="_(* #,##0.0000_);_(* \(#,##0.0000\);_(* &quot;-&quot;??_);_(@_)"/>
    <numFmt numFmtId="180" formatCode="_(* #,##0.000_);_(* \(#,##0.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0.0000"/>
    <numFmt numFmtId="184" formatCode="0.000"/>
    <numFmt numFmtId="185" formatCode="0.0"/>
    <numFmt numFmtId="186" formatCode="0.00_);[Red]\(0.00\)"/>
  </numFmts>
  <fonts count="1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.4"/>
      <name val="Times New Roman"/>
      <family val="1"/>
    </font>
    <font>
      <sz val="10.5"/>
      <name val="Times New Roman"/>
      <family val="1"/>
    </font>
    <font>
      <u val="single"/>
      <sz val="10.5"/>
      <name val="Times New Roman"/>
      <family val="1"/>
    </font>
    <font>
      <b/>
      <sz val="10"/>
      <name val="Arial"/>
      <family val="2"/>
    </font>
    <font>
      <b/>
      <sz val="10"/>
      <color indexed="48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7" fontId="1" fillId="0" borderId="0" xfId="15" applyNumberFormat="1" applyFont="1" applyAlignment="1">
      <alignment/>
    </xf>
    <xf numFmtId="177" fontId="8" fillId="0" borderId="0" xfId="15" applyNumberFormat="1" applyFont="1" applyAlignment="1">
      <alignment horizontal="center" vertical="center" wrapText="1"/>
    </xf>
    <xf numFmtId="177" fontId="7" fillId="0" borderId="0" xfId="15" applyNumberFormat="1" applyFont="1" applyAlignment="1">
      <alignment horizontal="center"/>
    </xf>
    <xf numFmtId="177" fontId="1" fillId="0" borderId="1" xfId="15" applyNumberFormat="1" applyFont="1" applyBorder="1" applyAlignment="1">
      <alignment/>
    </xf>
    <xf numFmtId="177" fontId="1" fillId="0" borderId="2" xfId="15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2" fillId="0" borderId="2" xfId="15" applyNumberFormat="1" applyFont="1" applyBorder="1" applyAlignment="1">
      <alignment/>
    </xf>
    <xf numFmtId="43" fontId="1" fillId="0" borderId="3" xfId="15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177" fontId="10" fillId="0" borderId="0" xfId="15" applyNumberFormat="1" applyFont="1" applyAlignment="1">
      <alignment/>
    </xf>
    <xf numFmtId="177" fontId="10" fillId="0" borderId="0" xfId="15" applyNumberFormat="1" applyFont="1" applyAlignment="1" quotePrefix="1">
      <alignment/>
    </xf>
    <xf numFmtId="177" fontId="11" fillId="0" borderId="0" xfId="15" applyNumberFormat="1" applyFont="1" applyAlignment="1">
      <alignment/>
    </xf>
    <xf numFmtId="0" fontId="1" fillId="0" borderId="0" xfId="0" applyFont="1" applyFill="1" applyAlignment="1">
      <alignment/>
    </xf>
    <xf numFmtId="177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7" fontId="2" fillId="0" borderId="0" xfId="15" applyNumberFormat="1" applyFont="1" applyFill="1" applyAlignment="1">
      <alignment horizontal="center"/>
    </xf>
    <xf numFmtId="177" fontId="10" fillId="0" borderId="0" xfId="15" applyNumberFormat="1" applyFont="1" applyFill="1" applyAlignment="1">
      <alignment/>
    </xf>
    <xf numFmtId="177" fontId="10" fillId="0" borderId="0" xfId="15" applyNumberFormat="1" applyFont="1" applyFill="1" applyBorder="1" applyAlignment="1">
      <alignment/>
    </xf>
    <xf numFmtId="177" fontId="10" fillId="0" borderId="4" xfId="15" applyNumberFormat="1" applyFont="1" applyFill="1" applyBorder="1" applyAlignment="1">
      <alignment/>
    </xf>
    <xf numFmtId="177" fontId="10" fillId="0" borderId="5" xfId="15" applyNumberFormat="1" applyFont="1" applyFill="1" applyBorder="1" applyAlignment="1">
      <alignment/>
    </xf>
    <xf numFmtId="177" fontId="10" fillId="0" borderId="6" xfId="15" applyNumberFormat="1" applyFont="1" applyFill="1" applyBorder="1" applyAlignment="1">
      <alignment/>
    </xf>
    <xf numFmtId="177" fontId="10" fillId="0" borderId="2" xfId="15" applyNumberFormat="1" applyFont="1" applyFill="1" applyBorder="1" applyAlignment="1">
      <alignment/>
    </xf>
    <xf numFmtId="177" fontId="10" fillId="0" borderId="1" xfId="15" applyNumberFormat="1" applyFont="1" applyFill="1" applyBorder="1" applyAlignment="1">
      <alignment/>
    </xf>
    <xf numFmtId="0" fontId="1" fillId="0" borderId="0" xfId="0" applyFont="1" applyAlignment="1" quotePrefix="1">
      <alignment/>
    </xf>
    <xf numFmtId="177" fontId="1" fillId="0" borderId="4" xfId="15" applyNumberFormat="1" applyFont="1" applyBorder="1" applyAlignment="1">
      <alignment/>
    </xf>
    <xf numFmtId="177" fontId="1" fillId="0" borderId="7" xfId="15" applyNumberFormat="1" applyFont="1" applyBorder="1" applyAlignment="1">
      <alignment/>
    </xf>
    <xf numFmtId="177" fontId="1" fillId="0" borderId="8" xfId="15" applyNumberFormat="1" applyFont="1" applyBorder="1" applyAlignment="1">
      <alignment/>
    </xf>
    <xf numFmtId="177" fontId="1" fillId="0" borderId="3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1" fillId="0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77" fontId="1" fillId="2" borderId="0" xfId="15" applyNumberFormat="1" applyFont="1" applyFill="1" applyAlignment="1">
      <alignment/>
    </xf>
    <xf numFmtId="177" fontId="1" fillId="2" borderId="1" xfId="15" applyNumberFormat="1" applyFont="1" applyFill="1" applyBorder="1" applyAlignment="1">
      <alignment/>
    </xf>
    <xf numFmtId="177" fontId="2" fillId="2" borderId="2" xfId="15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177" fontId="1" fillId="3" borderId="0" xfId="15" applyNumberFormat="1" applyFont="1" applyFill="1" applyAlignment="1">
      <alignment/>
    </xf>
    <xf numFmtId="177" fontId="1" fillId="3" borderId="1" xfId="15" applyNumberFormat="1" applyFont="1" applyFill="1" applyBorder="1" applyAlignment="1">
      <alignment/>
    </xf>
    <xf numFmtId="177" fontId="2" fillId="3" borderId="2" xfId="15" applyNumberFormat="1" applyFont="1" applyFill="1" applyBorder="1" applyAlignment="1">
      <alignment/>
    </xf>
    <xf numFmtId="0" fontId="2" fillId="3" borderId="0" xfId="0" applyFont="1" applyFill="1" applyAlignment="1">
      <alignment/>
    </xf>
    <xf numFmtId="177" fontId="13" fillId="0" borderId="0" xfId="15" applyNumberFormat="1" applyFont="1" applyAlignment="1">
      <alignment/>
    </xf>
    <xf numFmtId="177" fontId="13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5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43" fontId="2" fillId="0" borderId="0" xfId="15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79" fontId="14" fillId="0" borderId="0" xfId="15" applyNumberFormat="1" applyFont="1" applyAlignment="1">
      <alignment/>
    </xf>
    <xf numFmtId="177" fontId="14" fillId="0" borderId="0" xfId="15" applyNumberFormat="1" applyFont="1" applyAlignment="1">
      <alignment/>
    </xf>
    <xf numFmtId="177" fontId="1" fillId="0" borderId="9" xfId="15" applyNumberFormat="1" applyFont="1" applyBorder="1" applyAlignment="1">
      <alignment/>
    </xf>
    <xf numFmtId="177" fontId="1" fillId="0" borderId="10" xfId="15" applyNumberFormat="1" applyFont="1" applyBorder="1" applyAlignment="1">
      <alignment/>
    </xf>
    <xf numFmtId="177" fontId="1" fillId="0" borderId="11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43" fontId="1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/>
    </xf>
    <xf numFmtId="43" fontId="1" fillId="0" borderId="0" xfId="15" applyFont="1" applyFill="1" applyAlignment="1">
      <alignment/>
    </xf>
    <xf numFmtId="186" fontId="1" fillId="0" borderId="0" xfId="15" applyNumberFormat="1" applyFont="1" applyAlignment="1">
      <alignment/>
    </xf>
    <xf numFmtId="177" fontId="1" fillId="0" borderId="12" xfId="15" applyNumberFormat="1" applyFont="1" applyBorder="1" applyAlignment="1">
      <alignment/>
    </xf>
    <xf numFmtId="177" fontId="1" fillId="0" borderId="13" xfId="15" applyNumberFormat="1" applyFont="1" applyBorder="1" applyAlignment="1">
      <alignment/>
    </xf>
    <xf numFmtId="177" fontId="1" fillId="0" borderId="14" xfId="15" applyNumberFormat="1" applyFont="1" applyBorder="1" applyAlignment="1">
      <alignment/>
    </xf>
    <xf numFmtId="177" fontId="1" fillId="0" borderId="15" xfId="15" applyNumberFormat="1" applyFont="1" applyBorder="1" applyAlignment="1">
      <alignment/>
    </xf>
    <xf numFmtId="177" fontId="1" fillId="0" borderId="16" xfId="15" applyNumberFormat="1" applyFont="1" applyBorder="1" applyAlignment="1">
      <alignment/>
    </xf>
    <xf numFmtId="177" fontId="1" fillId="0" borderId="17" xfId="15" applyNumberFormat="1" applyFont="1" applyBorder="1" applyAlignment="1">
      <alignment/>
    </xf>
    <xf numFmtId="177" fontId="8" fillId="0" borderId="0" xfId="15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7" fontId="4" fillId="0" borderId="0" xfId="15" applyNumberFormat="1" applyFont="1" applyAlignment="1">
      <alignment horizontal="center"/>
    </xf>
    <xf numFmtId="177" fontId="4" fillId="2" borderId="0" xfId="15" applyNumberFormat="1" applyFont="1" applyFill="1" applyAlignment="1">
      <alignment horizontal="center"/>
    </xf>
    <xf numFmtId="177" fontId="4" fillId="3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I-1Q%202003-P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PI-3Q%202004-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PI-1Q%202002-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PI-2Q%202002-P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PI-4Q%202004-B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PI-4Q%202004-P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PI-3Q%202003-P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PI-2Q%202003-P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PI-4Q%202003-P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PI-Quarterly%20Report-3112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4th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2">
        <row r="12">
          <cell r="S12">
            <v>74956545.78822663</v>
          </cell>
        </row>
        <row r="25">
          <cell r="S25">
            <v>-63563247.43743165</v>
          </cell>
        </row>
        <row r="31">
          <cell r="S31">
            <v>2606155.532849856</v>
          </cell>
        </row>
        <row r="32">
          <cell r="S32">
            <v>2533214.7092976533</v>
          </cell>
        </row>
        <row r="33">
          <cell r="S33">
            <v>1830290.0510547701</v>
          </cell>
        </row>
        <row r="34">
          <cell r="S34">
            <v>195843.56984492182</v>
          </cell>
        </row>
        <row r="47">
          <cell r="S47">
            <v>77023.45999999999</v>
          </cell>
        </row>
        <row r="51">
          <cell r="S51">
            <v>649410.5477375985</v>
          </cell>
        </row>
        <row r="57">
          <cell r="S57">
            <v>-1800000</v>
          </cell>
        </row>
        <row r="65">
          <cell r="S65">
            <v>120784.12834499998</v>
          </cell>
        </row>
        <row r="343">
          <cell r="S343">
            <v>9321.810000000001</v>
          </cell>
        </row>
        <row r="352">
          <cell r="S352">
            <v>195843.56984492182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mi-annual return"/>
      <sheetName val="Analysis 2"/>
      <sheetName val="Analysis 1"/>
      <sheetName val="EPS"/>
      <sheetName val="JV"/>
      <sheetName val="ADJ"/>
      <sheetName val="FPI-CONSOL"/>
      <sheetName val="4th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6">
        <row r="47">
          <cell r="S47">
            <v>275880.76010340534</v>
          </cell>
        </row>
        <row r="345">
          <cell r="S345">
            <v>54463.31</v>
          </cell>
        </row>
        <row r="354">
          <cell r="S354">
            <v>695206.9516623572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1st QUARTER"/>
      <sheetName val="FPI KLSE"/>
      <sheetName val="AEFE"/>
      <sheetName val="AE P&amp;L"/>
      <sheetName val="FPM-TAXATION"/>
      <sheetName val="FPM P&amp;L"/>
      <sheetName val="FPI-TAXATION"/>
      <sheetName val="FPI P&amp;L"/>
    </sheetNames>
    <sheetDataSet>
      <sheetData sheetId="2">
        <row r="25">
          <cell r="Q25">
            <v>-74324853.44637327</v>
          </cell>
        </row>
        <row r="31">
          <cell r="Q31">
            <v>1828066.9884627163</v>
          </cell>
        </row>
        <row r="32">
          <cell r="Q32">
            <v>2241083.2988254274</v>
          </cell>
        </row>
        <row r="33">
          <cell r="Q33">
            <v>683395.44</v>
          </cell>
        </row>
        <row r="51">
          <cell r="Q51">
            <v>533737.3825712117</v>
          </cell>
        </row>
        <row r="57">
          <cell r="Q57">
            <v>-860000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PS "/>
      <sheetName val="ADJ"/>
      <sheetName val="FPI-CONSOL"/>
      <sheetName val="analysis"/>
      <sheetName val="2nd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4">
        <row r="19">
          <cell r="U19">
            <v>83080.58119369253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 OF CHANGES IN EQUITY"/>
      <sheetName val="FAAE"/>
      <sheetName val="FAFPI "/>
      <sheetName val="FA03"/>
      <sheetName val="BS"/>
      <sheetName val="CF"/>
      <sheetName val="CF STATEMENT"/>
      <sheetName val="FOR CEO"/>
      <sheetName val="FPI-CONSOL"/>
      <sheetName val="ADJ"/>
      <sheetName val="AEFE "/>
      <sheetName val="APCS BS"/>
      <sheetName val="AE BS"/>
      <sheetName val="FPM-Investment"/>
      <sheetName val="FPM BS"/>
      <sheetName val="Debtors Analysis"/>
      <sheetName val="FPI BS"/>
    </sheetNames>
    <sheetDataSet>
      <sheetData sheetId="0">
        <row r="11">
          <cell r="F11">
            <v>354913.86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6821657.302302314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-4097876.2</v>
          </cell>
        </row>
      </sheetData>
      <sheetData sheetId="4">
        <row r="10">
          <cell r="U10">
            <v>77582633.91219999</v>
          </cell>
          <cell r="W10">
            <v>83271780</v>
          </cell>
        </row>
        <row r="11">
          <cell r="U11">
            <v>900532.99</v>
          </cell>
          <cell r="W11">
            <v>1065111</v>
          </cell>
        </row>
        <row r="12">
          <cell r="U12">
            <v>-0.040000006556510925</v>
          </cell>
          <cell r="W12">
            <v>0</v>
          </cell>
        </row>
        <row r="13">
          <cell r="U13">
            <v>30609329.61272593</v>
          </cell>
          <cell r="W13">
            <v>7327669</v>
          </cell>
        </row>
        <row r="14">
          <cell r="U14">
            <v>0</v>
          </cell>
          <cell r="W14">
            <v>14177743</v>
          </cell>
        </row>
        <row r="15">
          <cell r="U15">
            <v>3781007.6991244643</v>
          </cell>
          <cell r="W15">
            <v>4000282</v>
          </cell>
        </row>
        <row r="16">
          <cell r="U16">
            <v>800000</v>
          </cell>
          <cell r="W16">
            <v>0</v>
          </cell>
        </row>
        <row r="18">
          <cell r="U18">
            <v>37458470.935953364</v>
          </cell>
          <cell r="W18">
            <v>34074484</v>
          </cell>
        </row>
        <row r="19">
          <cell r="U19">
            <v>73749291.51061499</v>
          </cell>
          <cell r="W19">
            <v>56391485</v>
          </cell>
        </row>
        <row r="20">
          <cell r="U20">
            <v>8681069.205</v>
          </cell>
          <cell r="W20">
            <v>5928299</v>
          </cell>
        </row>
        <row r="21">
          <cell r="U21">
            <v>0</v>
          </cell>
          <cell r="W21">
            <v>0</v>
          </cell>
        </row>
        <row r="22">
          <cell r="U22">
            <v>2514686.94</v>
          </cell>
          <cell r="W22">
            <v>1837571</v>
          </cell>
        </row>
        <row r="23">
          <cell r="U23">
            <v>4.656612873077393E-10</v>
          </cell>
          <cell r="W23">
            <v>0</v>
          </cell>
        </row>
        <row r="24">
          <cell r="U24">
            <v>0</v>
          </cell>
          <cell r="W24">
            <v>0</v>
          </cell>
        </row>
        <row r="25">
          <cell r="U25">
            <v>0</v>
          </cell>
          <cell r="W25">
            <v>0</v>
          </cell>
        </row>
        <row r="26">
          <cell r="U26">
            <v>16908900</v>
          </cell>
          <cell r="W26">
            <v>21158900</v>
          </cell>
        </row>
        <row r="27">
          <cell r="U27">
            <v>4403575.391999998</v>
          </cell>
          <cell r="W27">
            <v>6904474</v>
          </cell>
        </row>
        <row r="30">
          <cell r="U30">
            <v>39713121.765615</v>
          </cell>
          <cell r="W30">
            <v>22310674</v>
          </cell>
        </row>
        <row r="31">
          <cell r="U31">
            <v>6653497.364999999</v>
          </cell>
          <cell r="W31">
            <v>8430880</v>
          </cell>
        </row>
        <row r="32">
          <cell r="U32">
            <v>0</v>
          </cell>
          <cell r="W32">
            <v>0</v>
          </cell>
        </row>
        <row r="33">
          <cell r="U33">
            <v>0</v>
          </cell>
          <cell r="W33">
            <v>0</v>
          </cell>
        </row>
        <row r="34">
          <cell r="U34">
            <v>0</v>
          </cell>
          <cell r="W34">
            <v>0</v>
          </cell>
        </row>
        <row r="35">
          <cell r="U35">
            <v>0</v>
          </cell>
          <cell r="W35">
            <v>0</v>
          </cell>
        </row>
        <row r="36">
          <cell r="U36">
            <v>0</v>
          </cell>
          <cell r="W36">
            <v>0</v>
          </cell>
        </row>
        <row r="37">
          <cell r="U37">
            <v>20315000</v>
          </cell>
          <cell r="W37">
            <v>16488989</v>
          </cell>
        </row>
        <row r="39">
          <cell r="U39">
            <v>0</v>
          </cell>
          <cell r="W39">
            <v>0</v>
          </cell>
        </row>
        <row r="45">
          <cell r="U45">
            <v>81957524.39999999</v>
          </cell>
          <cell r="W45">
            <v>81952524.3</v>
          </cell>
        </row>
        <row r="48">
          <cell r="U48">
            <v>33913786.33</v>
          </cell>
          <cell r="W48">
            <v>33912236</v>
          </cell>
        </row>
        <row r="49">
          <cell r="U49">
            <v>1259157.0800000003</v>
          </cell>
          <cell r="W49">
            <v>1259157</v>
          </cell>
        </row>
        <row r="50">
          <cell r="U50">
            <v>1976331.2799999998</v>
          </cell>
          <cell r="W50">
            <v>1976331</v>
          </cell>
        </row>
        <row r="51">
          <cell r="U51">
            <v>0</v>
          </cell>
          <cell r="W51">
            <v>0</v>
          </cell>
        </row>
        <row r="52">
          <cell r="U52">
            <v>1066294.94</v>
          </cell>
          <cell r="W52">
            <v>711381</v>
          </cell>
        </row>
        <row r="53">
          <cell r="U53">
            <v>62371423.419865556</v>
          </cell>
          <cell r="W53">
            <v>59647643</v>
          </cell>
        </row>
        <row r="56">
          <cell r="U56">
            <v>1935361.728201456</v>
          </cell>
          <cell r="W56">
            <v>1784742</v>
          </cell>
        </row>
        <row r="59">
          <cell r="U59">
            <v>0</v>
          </cell>
          <cell r="W59">
            <v>0</v>
          </cell>
        </row>
        <row r="60">
          <cell r="U60">
            <v>532999.855</v>
          </cell>
          <cell r="W60">
            <v>2236241</v>
          </cell>
        </row>
        <row r="61">
          <cell r="U61">
            <v>5695000</v>
          </cell>
          <cell r="W61">
            <v>5427000</v>
          </cell>
        </row>
      </sheetData>
      <sheetData sheetId="5">
        <row r="96">
          <cell r="U96">
            <v>5000.0999999940395</v>
          </cell>
        </row>
        <row r="99">
          <cell r="U99">
            <v>1550.3299999982119</v>
          </cell>
        </row>
      </sheetData>
      <sheetData sheetId="6">
        <row r="8">
          <cell r="D8">
            <v>8346827.550939227</v>
          </cell>
        </row>
        <row r="11">
          <cell r="D11">
            <v>8562614.2028</v>
          </cell>
        </row>
        <row r="12">
          <cell r="D12">
            <v>11723.659999999989</v>
          </cell>
        </row>
        <row r="13">
          <cell r="D13">
            <v>-8902.26999999999</v>
          </cell>
        </row>
        <row r="14">
          <cell r="D14">
            <v>881803.4236258275</v>
          </cell>
        </row>
        <row r="15">
          <cell r="D15">
            <v>-316791.52</v>
          </cell>
        </row>
        <row r="16">
          <cell r="D16">
            <v>-1197629.8</v>
          </cell>
        </row>
        <row r="19">
          <cell r="D19">
            <v>7410.9628204818</v>
          </cell>
        </row>
        <row r="20">
          <cell r="D20">
            <v>164578.08000000002</v>
          </cell>
        </row>
        <row r="22">
          <cell r="D22">
            <v>-3105344.302427915</v>
          </cell>
        </row>
        <row r="23">
          <cell r="D23">
            <v>8175.240312730079</v>
          </cell>
        </row>
        <row r="24">
          <cell r="D24">
            <v>-698442.48</v>
          </cell>
        </row>
        <row r="28">
          <cell r="D28">
            <v>-2398399.076266094</v>
          </cell>
        </row>
        <row r="29">
          <cell r="D29">
            <v>-15799966.320614992</v>
          </cell>
        </row>
        <row r="30">
          <cell r="D30">
            <v>-2751712.005</v>
          </cell>
        </row>
        <row r="31">
          <cell r="D31">
            <v>15519294.355615001</v>
          </cell>
        </row>
        <row r="32">
          <cell r="D32">
            <v>-1898484.9350000008</v>
          </cell>
        </row>
        <row r="36">
          <cell r="D36">
            <v>-675986.2536258275</v>
          </cell>
        </row>
        <row r="37">
          <cell r="D37">
            <v>-1807115.94</v>
          </cell>
        </row>
        <row r="43">
          <cell r="D43">
            <v>0</v>
          </cell>
        </row>
        <row r="45">
          <cell r="D45">
            <v>316791.52</v>
          </cell>
        </row>
        <row r="46">
          <cell r="D46">
            <v>-5788879.933000001</v>
          </cell>
        </row>
        <row r="47">
          <cell r="D47">
            <v>1197629.8</v>
          </cell>
        </row>
        <row r="48">
          <cell r="D48">
            <v>-6563259.700000001</v>
          </cell>
        </row>
        <row r="49">
          <cell r="D49">
            <v>3480018.6150000007</v>
          </cell>
        </row>
        <row r="54">
          <cell r="D54">
            <v>6550.429999992251</v>
          </cell>
        </row>
        <row r="55">
          <cell r="D55">
            <v>-205817.17</v>
          </cell>
        </row>
        <row r="56">
          <cell r="D56">
            <v>-5441.699999999996</v>
          </cell>
        </row>
        <row r="57">
          <cell r="D57">
            <v>-3854882.645</v>
          </cell>
        </row>
        <row r="58">
          <cell r="D58">
            <v>5831578</v>
          </cell>
        </row>
        <row r="59">
          <cell r="D59">
            <v>-4097876.2</v>
          </cell>
        </row>
        <row r="63">
          <cell r="D63">
            <v>-76514.94618395122</v>
          </cell>
        </row>
        <row r="68">
          <cell r="D68">
            <v>28063374</v>
          </cell>
        </row>
        <row r="69">
          <cell r="D69">
            <v>165553.29999999993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mi-annual return"/>
      <sheetName val="Analysis 2"/>
      <sheetName val="Analysis 1"/>
      <sheetName val="EPS"/>
      <sheetName val="Acoustech"/>
      <sheetName val="GPGSS"/>
      <sheetName val="ADJ"/>
      <sheetName val="FPI-CONSOL"/>
      <sheetName val="4th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3">
        <row r="10">
          <cell r="E10">
            <v>8.023737669584706</v>
          </cell>
          <cell r="H10">
            <v>4.481515007991115</v>
          </cell>
        </row>
        <row r="20">
          <cell r="E20">
            <v>2.337217424725616</v>
          </cell>
          <cell r="H20">
            <v>-0.5945883818563177</v>
          </cell>
        </row>
      </sheetData>
      <sheetData sheetId="7">
        <row r="12">
          <cell r="S12">
            <v>312769453.5113221</v>
          </cell>
        </row>
        <row r="25">
          <cell r="S25">
            <v>-277530583.83614326</v>
          </cell>
        </row>
        <row r="31">
          <cell r="S31">
            <v>15220710.459103733</v>
          </cell>
        </row>
        <row r="32">
          <cell r="S32">
            <v>12447942.432735823</v>
          </cell>
        </row>
        <row r="33">
          <cell r="S33">
            <v>5266440.9008894</v>
          </cell>
        </row>
        <row r="34">
          <cell r="S34">
            <v>956927.5536258275</v>
          </cell>
        </row>
        <row r="47">
          <cell r="S47">
            <v>316791.52</v>
          </cell>
        </row>
        <row r="50">
          <cell r="S50">
            <v>3894634.9196872697</v>
          </cell>
        </row>
        <row r="51">
          <cell r="S51">
            <v>3105344.302427915</v>
          </cell>
        </row>
        <row r="59">
          <cell r="S59">
            <v>-1374549.7277570409</v>
          </cell>
        </row>
        <row r="67">
          <cell r="S67">
            <v>-150620.5208798755</v>
          </cell>
        </row>
        <row r="345">
          <cell r="S345">
            <v>75124.13</v>
          </cell>
        </row>
        <row r="354">
          <cell r="S354">
            <v>956927.5536258275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DJ"/>
      <sheetName val="FPI-CONSOL"/>
      <sheetName val="3rd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1">
        <row r="47">
          <cell r="S47">
            <v>483190.57000000007</v>
          </cell>
        </row>
        <row r="343">
          <cell r="S343">
            <v>37751.83</v>
          </cell>
        </row>
        <row r="352">
          <cell r="S352">
            <v>635433.799063252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"/>
      <sheetName val="FPI-CONSOL"/>
      <sheetName val="2nd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1">
        <row r="47">
          <cell r="S47">
            <v>293240.43</v>
          </cell>
        </row>
        <row r="343">
          <cell r="S343">
            <v>21562.96</v>
          </cell>
        </row>
        <row r="352">
          <cell r="S352">
            <v>422286.81464957877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alysis 2"/>
      <sheetName val="Analysis 1"/>
      <sheetName val="ADJ"/>
      <sheetName val="FPI-CONSOL"/>
      <sheetName val="4th QUARTER"/>
      <sheetName val="FPI KLSE"/>
      <sheetName val="AEFE"/>
      <sheetName val="APCS P&amp;L"/>
      <sheetName val="AE P&amp;L"/>
      <sheetName val="FPM-TAXATION"/>
      <sheetName val="FPM P&amp;L"/>
      <sheetName val="FPI-TAXATION"/>
      <sheetName val="FPI P&amp;L"/>
    </sheetNames>
    <sheetDataSet>
      <sheetData sheetId="3">
        <row r="47">
          <cell r="S47">
            <v>610217.0463464664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ES"/>
      <sheetName val="Sheet6"/>
      <sheetName val="Sheet5"/>
      <sheetName val="Sheet4"/>
      <sheetName val="Sheet3"/>
    </sheetNames>
    <sheetDataSet>
      <sheetData sheetId="0">
        <row r="16">
          <cell r="F16">
            <v>244233.03729172744</v>
          </cell>
        </row>
        <row r="17">
          <cell r="F17">
            <v>-215794.01564520266</v>
          </cell>
        </row>
        <row r="19">
          <cell r="F19">
            <v>3480.2525452385835</v>
          </cell>
        </row>
        <row r="20">
          <cell r="F20">
            <v>-10609.438571596096</v>
          </cell>
        </row>
        <row r="21">
          <cell r="F21">
            <v>-8908.750092897397</v>
          </cell>
        </row>
        <row r="22">
          <cell r="F22">
            <v>-5758.209038374999</v>
          </cell>
        </row>
        <row r="24">
          <cell r="F24">
            <v>-695.2069516623571</v>
          </cell>
        </row>
        <row r="25">
          <cell r="F25">
            <v>705.4622789564002</v>
          </cell>
        </row>
        <row r="27">
          <cell r="F27">
            <v>-1777.8481031279998</v>
          </cell>
        </row>
        <row r="29">
          <cell r="F29">
            <v>-49.70687005791226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1">
      <pane xSplit="1" ySplit="15" topLeftCell="B24" activePane="bottomRight" state="frozen"/>
      <selection pane="topLeft" activeCell="A2" sqref="A2"/>
      <selection pane="topRight" activeCell="B2" sqref="B2"/>
      <selection pane="bottomLeft" activeCell="A16" sqref="A16"/>
      <selection pane="bottomRight" activeCell="A24" sqref="A24"/>
    </sheetView>
  </sheetViews>
  <sheetFormatPr defaultColWidth="9.140625" defaultRowHeight="12.75"/>
  <cols>
    <col min="1" max="1" width="40.7109375" style="1" customWidth="1"/>
    <col min="2" max="2" width="9.140625" style="1" customWidth="1"/>
    <col min="3" max="3" width="0.71875" style="1" customWidth="1"/>
    <col min="4" max="4" width="9.140625" style="8" customWidth="1"/>
    <col min="5" max="5" width="0.71875" style="1" customWidth="1"/>
    <col min="6" max="6" width="9.140625" style="8" customWidth="1"/>
    <col min="7" max="7" width="0.71875" style="1" customWidth="1"/>
    <col min="8" max="8" width="9.140625" style="1" customWidth="1"/>
    <col min="9" max="9" width="0.71875" style="1" customWidth="1"/>
    <col min="10" max="10" width="0" style="1" hidden="1" customWidth="1"/>
    <col min="11" max="11" width="0.71875" style="1" hidden="1" customWidth="1"/>
    <col min="12" max="12" width="0" style="1" hidden="1" customWidth="1"/>
    <col min="13" max="13" width="0.71875" style="1" hidden="1" customWidth="1"/>
    <col min="14" max="14" width="0" style="1" hidden="1" customWidth="1"/>
    <col min="15" max="15" width="0.71875" style="1" hidden="1" customWidth="1"/>
    <col min="16" max="16" width="0" style="1" hidden="1" customWidth="1"/>
    <col min="17" max="17" width="0.71875" style="1" hidden="1" customWidth="1"/>
    <col min="18" max="18" width="0" style="1" hidden="1" customWidth="1"/>
    <col min="19" max="19" width="0.71875" style="1" hidden="1" customWidth="1"/>
    <col min="20" max="20" width="0" style="1" hidden="1" customWidth="1"/>
    <col min="21" max="21" width="0.71875" style="1" hidden="1" customWidth="1"/>
    <col min="22" max="22" width="0" style="1" hidden="1" customWidth="1"/>
    <col min="23" max="23" width="0.71875" style="1" hidden="1" customWidth="1"/>
    <col min="24" max="24" width="0" style="1" hidden="1" customWidth="1"/>
    <col min="25" max="25" width="0.71875" style="1" hidden="1" customWidth="1"/>
    <col min="26" max="26" width="0" style="1" hidden="1" customWidth="1"/>
    <col min="27" max="27" width="0.71875" style="1" hidden="1" customWidth="1"/>
    <col min="28" max="39" width="7.8515625" style="1" hidden="1" customWidth="1"/>
    <col min="40" max="16384" width="7.8515625" style="1" customWidth="1"/>
  </cols>
  <sheetData>
    <row r="1" ht="15.75">
      <c r="A1" s="3" t="s">
        <v>0</v>
      </c>
    </row>
    <row r="2" ht="15.75">
      <c r="A2" s="3" t="s">
        <v>154</v>
      </c>
    </row>
    <row r="3" ht="15.75">
      <c r="A3" s="3" t="s">
        <v>142</v>
      </c>
    </row>
    <row r="4" ht="15.75">
      <c r="A4" s="3" t="s">
        <v>102</v>
      </c>
    </row>
    <row r="6" ht="13.5">
      <c r="A6" s="4" t="s">
        <v>141</v>
      </c>
    </row>
    <row r="7" ht="13.5">
      <c r="A7" s="74" t="s">
        <v>143</v>
      </c>
    </row>
    <row r="9" spans="2:27" ht="14.25">
      <c r="B9" s="86" t="s">
        <v>13</v>
      </c>
      <c r="C9" s="86"/>
      <c r="D9" s="86"/>
      <c r="F9" s="86" t="s">
        <v>14</v>
      </c>
      <c r="G9" s="86"/>
      <c r="H9" s="86"/>
      <c r="L9" s="87" t="s">
        <v>14</v>
      </c>
      <c r="M9" s="87"/>
      <c r="N9" s="87"/>
      <c r="O9" s="87"/>
      <c r="P9" s="87"/>
      <c r="Q9" s="87"/>
      <c r="R9" s="87"/>
      <c r="S9" s="87"/>
      <c r="T9" s="88" t="s">
        <v>13</v>
      </c>
      <c r="U9" s="88"/>
      <c r="V9" s="88"/>
      <c r="W9" s="88"/>
      <c r="X9" s="88"/>
      <c r="Y9" s="88"/>
      <c r="Z9" s="88"/>
      <c r="AA9" s="88"/>
    </row>
    <row r="10" spans="2:27" ht="12.75" customHeight="1">
      <c r="B10" s="85" t="s">
        <v>15</v>
      </c>
      <c r="D10" s="85" t="s">
        <v>92</v>
      </c>
      <c r="F10" s="83" t="s">
        <v>16</v>
      </c>
      <c r="H10" s="85" t="s">
        <v>17</v>
      </c>
      <c r="J10" s="83" t="s">
        <v>16</v>
      </c>
      <c r="L10" s="84" t="s">
        <v>17</v>
      </c>
      <c r="M10" s="46"/>
      <c r="N10" s="84" t="s">
        <v>17</v>
      </c>
      <c r="O10" s="46"/>
      <c r="P10" s="84" t="s">
        <v>17</v>
      </c>
      <c r="Q10" s="46"/>
      <c r="R10" s="84" t="s">
        <v>17</v>
      </c>
      <c r="S10" s="46"/>
      <c r="T10" s="85" t="s">
        <v>92</v>
      </c>
      <c r="U10" s="52"/>
      <c r="V10" s="85" t="s">
        <v>92</v>
      </c>
      <c r="W10" s="52"/>
      <c r="X10" s="85" t="s">
        <v>92</v>
      </c>
      <c r="Y10" s="52"/>
      <c r="Z10" s="85" t="s">
        <v>92</v>
      </c>
      <c r="AA10" s="52"/>
    </row>
    <row r="11" spans="2:27" ht="12.75">
      <c r="B11" s="85"/>
      <c r="D11" s="85"/>
      <c r="F11" s="83"/>
      <c r="H11" s="85"/>
      <c r="J11" s="83"/>
      <c r="L11" s="84"/>
      <c r="M11" s="46"/>
      <c r="N11" s="84"/>
      <c r="O11" s="46"/>
      <c r="P11" s="84"/>
      <c r="Q11" s="46"/>
      <c r="R11" s="84"/>
      <c r="S11" s="46"/>
      <c r="T11" s="85"/>
      <c r="U11" s="52"/>
      <c r="V11" s="85"/>
      <c r="W11" s="52"/>
      <c r="X11" s="85"/>
      <c r="Y11" s="52"/>
      <c r="Z11" s="85"/>
      <c r="AA11" s="52"/>
    </row>
    <row r="12" spans="2:27" ht="12.75">
      <c r="B12" s="85"/>
      <c r="D12" s="85"/>
      <c r="F12" s="83"/>
      <c r="H12" s="85"/>
      <c r="J12" s="83"/>
      <c r="L12" s="84"/>
      <c r="M12" s="46"/>
      <c r="N12" s="84"/>
      <c r="O12" s="46"/>
      <c r="P12" s="84"/>
      <c r="Q12" s="46"/>
      <c r="R12" s="84"/>
      <c r="S12" s="46"/>
      <c r="T12" s="85"/>
      <c r="U12" s="52"/>
      <c r="V12" s="85"/>
      <c r="W12" s="52"/>
      <c r="X12" s="85"/>
      <c r="Y12" s="52"/>
      <c r="Z12" s="85"/>
      <c r="AA12" s="52"/>
    </row>
    <row r="13" spans="2:27" ht="12.75">
      <c r="B13" s="6" t="s">
        <v>144</v>
      </c>
      <c r="C13" s="6"/>
      <c r="D13" s="10" t="s">
        <v>109</v>
      </c>
      <c r="E13" s="6"/>
      <c r="F13" s="10" t="str">
        <f>+B13</f>
        <v>31/03/2004</v>
      </c>
      <c r="G13" s="6"/>
      <c r="H13" s="6" t="str">
        <f>+D13</f>
        <v>31/03/2003</v>
      </c>
      <c r="J13" s="10" t="s">
        <v>135</v>
      </c>
      <c r="K13" s="6"/>
      <c r="L13" s="47" t="s">
        <v>121</v>
      </c>
      <c r="M13" s="46"/>
      <c r="N13" s="47" t="s">
        <v>122</v>
      </c>
      <c r="O13" s="46"/>
      <c r="P13" s="47" t="s">
        <v>111</v>
      </c>
      <c r="Q13" s="46"/>
      <c r="R13" s="47" t="s">
        <v>109</v>
      </c>
      <c r="S13" s="46"/>
      <c r="T13" s="53" t="str">
        <f>+L13</f>
        <v>30/06/2002</v>
      </c>
      <c r="U13" s="52"/>
      <c r="V13" s="53" t="str">
        <f>+N13</f>
        <v>30/09/2002</v>
      </c>
      <c r="W13" s="52"/>
      <c r="X13" s="53" t="str">
        <f>+P13</f>
        <v>31/12/2002</v>
      </c>
      <c r="Y13" s="52"/>
      <c r="Z13" s="53" t="str">
        <f>+R13</f>
        <v>31/03/2003</v>
      </c>
      <c r="AA13" s="52"/>
    </row>
    <row r="14" spans="1:27" ht="12.75">
      <c r="A14" s="60"/>
      <c r="B14" s="6" t="s">
        <v>18</v>
      </c>
      <c r="C14" s="7"/>
      <c r="D14" s="10" t="str">
        <f>+B14</f>
        <v>RM'000</v>
      </c>
      <c r="E14" s="7"/>
      <c r="F14" s="10" t="str">
        <f>+D14</f>
        <v>RM'000</v>
      </c>
      <c r="G14" s="7"/>
      <c r="H14" s="6" t="str">
        <f>+F14</f>
        <v>RM'000</v>
      </c>
      <c r="J14" s="10" t="str">
        <f>+H14</f>
        <v>RM'000</v>
      </c>
      <c r="K14" s="7"/>
      <c r="L14" s="47" t="str">
        <f>+J14</f>
        <v>RM'000</v>
      </c>
      <c r="M14" s="46"/>
      <c r="N14" s="47" t="str">
        <f>+L14</f>
        <v>RM'000</v>
      </c>
      <c r="O14" s="46"/>
      <c r="P14" s="47" t="str">
        <f>+N14</f>
        <v>RM'000</v>
      </c>
      <c r="Q14" s="46"/>
      <c r="R14" s="47" t="str">
        <f>+P14</f>
        <v>RM'000</v>
      </c>
      <c r="S14" s="46"/>
      <c r="T14" s="53" t="str">
        <f>+R14</f>
        <v>RM'000</v>
      </c>
      <c r="U14" s="52"/>
      <c r="V14" s="53" t="str">
        <f>+T14</f>
        <v>RM'000</v>
      </c>
      <c r="W14" s="52"/>
      <c r="X14" s="53" t="str">
        <f>+V14</f>
        <v>RM'000</v>
      </c>
      <c r="Y14" s="52"/>
      <c r="Z14" s="53" t="str">
        <f>+X14</f>
        <v>RM'000</v>
      </c>
      <c r="AA14" s="52"/>
    </row>
    <row r="15" spans="10:27" ht="4.5" customHeight="1">
      <c r="J15" s="8"/>
      <c r="L15" s="46"/>
      <c r="M15" s="46"/>
      <c r="N15" s="46"/>
      <c r="O15" s="46"/>
      <c r="P15" s="46"/>
      <c r="Q15" s="46"/>
      <c r="R15" s="46"/>
      <c r="S15" s="46"/>
      <c r="T15" s="52"/>
      <c r="U15" s="52"/>
      <c r="V15" s="52"/>
      <c r="W15" s="52"/>
      <c r="X15" s="52"/>
      <c r="Y15" s="52"/>
      <c r="Z15" s="52"/>
      <c r="AA15" s="52"/>
    </row>
    <row r="16" spans="1:27" ht="12.75">
      <c r="A16" s="1" t="s">
        <v>1</v>
      </c>
      <c r="B16" s="8">
        <f>+F16-J16</f>
        <v>68536.41621959466</v>
      </c>
      <c r="D16" s="8">
        <f>+Z16</f>
        <v>46492.34499999997</v>
      </c>
      <c r="F16" s="8">
        <f>+'[5]FPI-CONSOL'!$S$12/1000</f>
        <v>312769.4535113221</v>
      </c>
      <c r="H16" s="8">
        <f>+R16</f>
        <v>289533.345</v>
      </c>
      <c r="J16" s="8">
        <f>+'[9]IS'!F16</f>
        <v>244233.03729172744</v>
      </c>
      <c r="L16" s="48">
        <f>168129-93173</f>
        <v>74956</v>
      </c>
      <c r="M16" s="46"/>
      <c r="N16" s="48">
        <v>168129</v>
      </c>
      <c r="O16" s="46"/>
      <c r="P16" s="48">
        <v>243041</v>
      </c>
      <c r="Q16" s="46"/>
      <c r="R16" s="48">
        <f>289533345/1000</f>
        <v>289533.345</v>
      </c>
      <c r="S16" s="46"/>
      <c r="T16" s="54">
        <f>+L16</f>
        <v>74956</v>
      </c>
      <c r="U16" s="52"/>
      <c r="V16" s="54">
        <f>+N16-L16</f>
        <v>93173</v>
      </c>
      <c r="W16" s="52"/>
      <c r="X16" s="54">
        <f>+P16-N16</f>
        <v>74912</v>
      </c>
      <c r="Y16" s="52"/>
      <c r="Z16" s="54">
        <f>+R16-P16</f>
        <v>46492.34499999997</v>
      </c>
      <c r="AA16" s="52"/>
    </row>
    <row r="17" spans="1:27" ht="12.75">
      <c r="A17" s="1" t="s">
        <v>2</v>
      </c>
      <c r="B17" s="11">
        <f>+F17-J17</f>
        <v>-61736.5681909406</v>
      </c>
      <c r="D17" s="11">
        <f>+Z17</f>
        <v>-43021.80900000001</v>
      </c>
      <c r="F17" s="11">
        <f>+'[5]FPI-CONSOL'!$S$25/1000</f>
        <v>-277530.58383614325</v>
      </c>
      <c r="H17" s="11">
        <f>+R17</f>
        <v>-259093.809</v>
      </c>
      <c r="J17" s="11">
        <f>+'[9]IS'!F17</f>
        <v>-215794.01564520266</v>
      </c>
      <c r="L17" s="49">
        <f>-146221+82658</f>
        <v>-63563</v>
      </c>
      <c r="M17" s="46"/>
      <c r="N17" s="49">
        <v>-146221</v>
      </c>
      <c r="O17" s="46"/>
      <c r="P17" s="49">
        <v>-216072</v>
      </c>
      <c r="Q17" s="46"/>
      <c r="R17" s="49">
        <f>-259093809/1000</f>
        <v>-259093.809</v>
      </c>
      <c r="S17" s="46"/>
      <c r="T17" s="55">
        <f>+L17</f>
        <v>-63563</v>
      </c>
      <c r="U17" s="52"/>
      <c r="V17" s="55">
        <f>+N17-L17</f>
        <v>-82658</v>
      </c>
      <c r="W17" s="52"/>
      <c r="X17" s="55">
        <f>+P17-N17</f>
        <v>-69851</v>
      </c>
      <c r="Y17" s="52"/>
      <c r="Z17" s="55">
        <f>+R17-P17</f>
        <v>-43021.80900000001</v>
      </c>
      <c r="AA17" s="52"/>
    </row>
    <row r="18" spans="1:27" ht="12.75">
      <c r="A18" s="1" t="s">
        <v>3</v>
      </c>
      <c r="B18" s="8">
        <f>SUM(B16:B17)</f>
        <v>6799.848028654058</v>
      </c>
      <c r="D18" s="8">
        <f>SUM(D16:D17)</f>
        <v>3470.5359999999637</v>
      </c>
      <c r="F18" s="8">
        <f>SUM(F16:F17)</f>
        <v>35238.86967517884</v>
      </c>
      <c r="H18" s="8">
        <f>SUM(H16:H17)</f>
        <v>30439.535999999964</v>
      </c>
      <c r="J18" s="8">
        <f>SUM(J16:J17)</f>
        <v>28439.02164652478</v>
      </c>
      <c r="L18" s="48">
        <f>SUM(L16:L17)</f>
        <v>11393</v>
      </c>
      <c r="M18" s="46"/>
      <c r="N18" s="48">
        <f>SUM(N16:N17)</f>
        <v>21908</v>
      </c>
      <c r="O18" s="46"/>
      <c r="P18" s="48">
        <f>SUM(P16:P17)</f>
        <v>26969</v>
      </c>
      <c r="Q18" s="46"/>
      <c r="R18" s="48">
        <f>SUM(R16:R17)</f>
        <v>30439.535999999964</v>
      </c>
      <c r="S18" s="46"/>
      <c r="T18" s="54">
        <f>SUM(T16:T17)</f>
        <v>11393</v>
      </c>
      <c r="U18" s="52"/>
      <c r="V18" s="54">
        <f>SUM(V16:V17)</f>
        <v>10515</v>
      </c>
      <c r="W18" s="52"/>
      <c r="X18" s="54">
        <f>SUM(X16:X17)</f>
        <v>5061</v>
      </c>
      <c r="Y18" s="52"/>
      <c r="Z18" s="54">
        <f>SUM(Z16:Z17)</f>
        <v>3470.5359999999637</v>
      </c>
      <c r="AA18" s="52"/>
    </row>
    <row r="19" spans="1:27" ht="12.75">
      <c r="A19" s="1" t="s">
        <v>4</v>
      </c>
      <c r="B19" s="8">
        <f>+F19-J19</f>
        <v>414.3823744486863</v>
      </c>
      <c r="D19" s="8">
        <f>+Z19</f>
        <v>811.4079999999999</v>
      </c>
      <c r="F19" s="8">
        <f>+'[5]FPI-CONSOL'!$S$50/1000</f>
        <v>3894.6349196872698</v>
      </c>
      <c r="H19" s="8">
        <f>+R19</f>
        <v>2523.408</v>
      </c>
      <c r="J19" s="8">
        <f>+'[9]IS'!F19</f>
        <v>3480.2525452385835</v>
      </c>
      <c r="L19" s="48">
        <f>1373-724</f>
        <v>649</v>
      </c>
      <c r="M19" s="46"/>
      <c r="N19" s="48">
        <v>1373</v>
      </c>
      <c r="O19" s="46"/>
      <c r="P19" s="48">
        <v>1712</v>
      </c>
      <c r="Q19" s="46"/>
      <c r="R19" s="48">
        <f>2523408/1000</f>
        <v>2523.408</v>
      </c>
      <c r="S19" s="46"/>
      <c r="T19" s="54">
        <f>+L19</f>
        <v>649</v>
      </c>
      <c r="U19" s="52"/>
      <c r="V19" s="54">
        <f>+N19-L19</f>
        <v>724</v>
      </c>
      <c r="W19" s="52"/>
      <c r="X19" s="54">
        <f>+P19-N19</f>
        <v>339</v>
      </c>
      <c r="Y19" s="52"/>
      <c r="Z19" s="54">
        <f>+R19-P19</f>
        <v>811.4079999999999</v>
      </c>
      <c r="AA19" s="52"/>
    </row>
    <row r="20" spans="1:27" ht="12.75">
      <c r="A20" s="1" t="s">
        <v>5</v>
      </c>
      <c r="B20" s="8">
        <f>+F20-J20</f>
        <v>-4611.271887507637</v>
      </c>
      <c r="D20" s="8">
        <f>+Z20</f>
        <v>-2783.258</v>
      </c>
      <c r="F20" s="8">
        <f>-'[5]FPI-CONSOL'!$S$31/1000</f>
        <v>-15220.710459103733</v>
      </c>
      <c r="H20" s="8">
        <f>+R20</f>
        <v>-10607.258</v>
      </c>
      <c r="J20" s="8">
        <f>+'[9]IS'!F20</f>
        <v>-10609.438571596096</v>
      </c>
      <c r="L20" s="48">
        <f>-4939--2333</f>
        <v>-2606</v>
      </c>
      <c r="M20" s="46"/>
      <c r="N20" s="48">
        <v>-4939</v>
      </c>
      <c r="O20" s="46"/>
      <c r="P20" s="48">
        <v>-7824</v>
      </c>
      <c r="Q20" s="46"/>
      <c r="R20" s="48">
        <f>-10607258/1000</f>
        <v>-10607.258</v>
      </c>
      <c r="S20" s="46"/>
      <c r="T20" s="54">
        <f>+L20</f>
        <v>-2606</v>
      </c>
      <c r="U20" s="52"/>
      <c r="V20" s="54">
        <f>+N20-L20</f>
        <v>-2333</v>
      </c>
      <c r="W20" s="52"/>
      <c r="X20" s="54">
        <f>+P20-N20</f>
        <v>-2885</v>
      </c>
      <c r="Y20" s="52"/>
      <c r="Z20" s="54">
        <f>+R20-P20</f>
        <v>-2783.258</v>
      </c>
      <c r="AA20" s="52"/>
    </row>
    <row r="21" spans="1:27" ht="12.75">
      <c r="A21" s="1" t="s">
        <v>6</v>
      </c>
      <c r="B21" s="8">
        <f>+F21-J21</f>
        <v>-3539.192339838426</v>
      </c>
      <c r="D21" s="8">
        <f>+Z21</f>
        <v>-3541.3979999999992</v>
      </c>
      <c r="F21" s="8">
        <f>-'[5]FPI-CONSOL'!$S$32/1000</f>
        <v>-12447.942432735823</v>
      </c>
      <c r="H21" s="8">
        <f>+R21</f>
        <v>-11606.398</v>
      </c>
      <c r="J21" s="8">
        <f>+'[9]IS'!F21</f>
        <v>-8908.750092897397</v>
      </c>
      <c r="L21" s="48">
        <f>-5388--2855</f>
        <v>-2533</v>
      </c>
      <c r="M21" s="46"/>
      <c r="N21" s="48">
        <v>-5388</v>
      </c>
      <c r="O21" s="46"/>
      <c r="P21" s="48">
        <v>-8065</v>
      </c>
      <c r="Q21" s="46"/>
      <c r="R21" s="48">
        <f>-11606398/1000</f>
        <v>-11606.398</v>
      </c>
      <c r="S21" s="46"/>
      <c r="T21" s="54">
        <f>+L21</f>
        <v>-2533</v>
      </c>
      <c r="U21" s="52"/>
      <c r="V21" s="54">
        <f>+N21-L21</f>
        <v>-2855</v>
      </c>
      <c r="W21" s="52"/>
      <c r="X21" s="54">
        <f>+P21-N21</f>
        <v>-2677</v>
      </c>
      <c r="Y21" s="52"/>
      <c r="Z21" s="54">
        <f>+R21-P21</f>
        <v>-3541.3979999999992</v>
      </c>
      <c r="AA21" s="52"/>
    </row>
    <row r="22" spans="1:28" ht="12.75">
      <c r="A22" s="1" t="s">
        <v>7</v>
      </c>
      <c r="B22" s="11">
        <f>+F22-J22</f>
        <v>491.76813748559834</v>
      </c>
      <c r="D22" s="11">
        <f>+Z22</f>
        <v>-632.6769999999997</v>
      </c>
      <c r="F22" s="11">
        <f>-'[5]FPI-CONSOL'!$S$33/1000</f>
        <v>-5266.440900889401</v>
      </c>
      <c r="H22" s="11">
        <f>+R22</f>
        <v>-5985.677</v>
      </c>
      <c r="J22" s="11">
        <f>+'[9]IS'!F22</f>
        <v>-5758.209038374999</v>
      </c>
      <c r="L22" s="49">
        <f>-3577--1746</f>
        <v>-1831</v>
      </c>
      <c r="M22" s="46"/>
      <c r="N22" s="49">
        <v>-3577</v>
      </c>
      <c r="O22" s="46"/>
      <c r="P22" s="49">
        <v>-5353</v>
      </c>
      <c r="Q22" s="46"/>
      <c r="R22" s="49">
        <f>-5985677/1000</f>
        <v>-5985.677</v>
      </c>
      <c r="S22" s="46"/>
      <c r="T22" s="55">
        <f>+L22</f>
        <v>-1831</v>
      </c>
      <c r="U22" s="52"/>
      <c r="V22" s="55">
        <f>+N22-L22</f>
        <v>-1746</v>
      </c>
      <c r="W22" s="52"/>
      <c r="X22" s="55">
        <f>+P22-N22</f>
        <v>-1776</v>
      </c>
      <c r="Y22" s="52"/>
      <c r="Z22" s="55">
        <f>+R22-P22</f>
        <v>-632.6769999999997</v>
      </c>
      <c r="AA22" s="52"/>
      <c r="AB22" s="1" t="s">
        <v>93</v>
      </c>
    </row>
    <row r="23" spans="1:27" ht="12.75">
      <c r="A23" s="1" t="s">
        <v>165</v>
      </c>
      <c r="B23" s="8">
        <f>SUM(B18:B22)</f>
        <v>-444.4656867577205</v>
      </c>
      <c r="D23" s="8">
        <f>SUM(D18:D22)</f>
        <v>-2675.3890000000356</v>
      </c>
      <c r="F23" s="8">
        <f>SUM(F18:F22)</f>
        <v>6198.410802137148</v>
      </c>
      <c r="H23" s="8">
        <f>SUM(H18:H22)</f>
        <v>4763.610999999966</v>
      </c>
      <c r="J23" s="8">
        <f>SUM(J18:J22)</f>
        <v>6642.876488894869</v>
      </c>
      <c r="L23" s="48">
        <f>SUM(L18:L22)</f>
        <v>5072</v>
      </c>
      <c r="M23" s="46"/>
      <c r="N23" s="48">
        <f>SUM(N18:N22)</f>
        <v>9377</v>
      </c>
      <c r="O23" s="46"/>
      <c r="P23" s="48">
        <f>SUM(P18:P22)</f>
        <v>7439</v>
      </c>
      <c r="Q23" s="46"/>
      <c r="R23" s="48">
        <f>SUM(R18:R22)</f>
        <v>4763.610999999966</v>
      </c>
      <c r="S23" s="46"/>
      <c r="T23" s="54">
        <f>SUM(T18:T22)</f>
        <v>5072</v>
      </c>
      <c r="U23" s="52"/>
      <c r="V23" s="54">
        <f>SUM(V18:V22)</f>
        <v>4305</v>
      </c>
      <c r="W23" s="52"/>
      <c r="X23" s="54">
        <f>SUM(X18:X22)</f>
        <v>-1938</v>
      </c>
      <c r="Y23" s="52"/>
      <c r="Z23" s="54">
        <f>SUM(Z18:Z22)</f>
        <v>-2675.3890000000356</v>
      </c>
      <c r="AA23" s="52"/>
    </row>
    <row r="24" spans="1:27" ht="12.75">
      <c r="A24" s="1" t="s">
        <v>8</v>
      </c>
      <c r="B24" s="8">
        <f>+F24-J24</f>
        <v>-261.72060196347036</v>
      </c>
      <c r="D24" s="8">
        <f>+Z24</f>
        <v>-171.04399999999998</v>
      </c>
      <c r="F24" s="8">
        <f>-'[5]FPI-CONSOL'!$S$34/1000</f>
        <v>-956.9275536258275</v>
      </c>
      <c r="H24" s="8">
        <f>+R24</f>
        <v>-807.044</v>
      </c>
      <c r="J24" s="18">
        <f>+'[9]IS'!F24</f>
        <v>-695.2069516623571</v>
      </c>
      <c r="L24" s="48">
        <f>-422--226</f>
        <v>-196</v>
      </c>
      <c r="M24" s="46"/>
      <c r="N24" s="48">
        <v>-422</v>
      </c>
      <c r="O24" s="46"/>
      <c r="P24" s="48">
        <v>-636</v>
      </c>
      <c r="Q24" s="46"/>
      <c r="R24" s="48">
        <f>-807044/1000</f>
        <v>-807.044</v>
      </c>
      <c r="S24" s="46"/>
      <c r="T24" s="54">
        <f>+L24</f>
        <v>-196</v>
      </c>
      <c r="U24" s="52"/>
      <c r="V24" s="54">
        <f>+N24-L24</f>
        <v>-226</v>
      </c>
      <c r="W24" s="52"/>
      <c r="X24" s="54">
        <f>+P24-N24</f>
        <v>-214</v>
      </c>
      <c r="Y24" s="52"/>
      <c r="Z24" s="54">
        <f>+R24-P24</f>
        <v>-171.04399999999998</v>
      </c>
      <c r="AA24" s="52"/>
    </row>
    <row r="25" spans="1:27" ht="12.75">
      <c r="A25" s="1" t="s">
        <v>9</v>
      </c>
      <c r="B25" s="11">
        <f>+F25-J25</f>
        <v>2399.882023471515</v>
      </c>
      <c r="D25" s="11">
        <f>+Z25</f>
        <v>0</v>
      </c>
      <c r="F25" s="11">
        <f>+'[5]FPI-CONSOL'!$S$51/1000</f>
        <v>3105.344302427915</v>
      </c>
      <c r="H25" s="11">
        <f>+R25</f>
        <v>0</v>
      </c>
      <c r="J25" s="11">
        <f>+'[9]IS'!F25</f>
        <v>705.4622789564002</v>
      </c>
      <c r="L25" s="49">
        <v>0</v>
      </c>
      <c r="M25" s="46"/>
      <c r="N25" s="49">
        <v>0</v>
      </c>
      <c r="O25" s="46"/>
      <c r="P25" s="49">
        <v>0</v>
      </c>
      <c r="Q25" s="46"/>
      <c r="R25" s="49">
        <v>0</v>
      </c>
      <c r="S25" s="46"/>
      <c r="T25" s="55">
        <f>+L25</f>
        <v>0</v>
      </c>
      <c r="U25" s="52"/>
      <c r="V25" s="55">
        <f>+N25-L25</f>
        <v>0</v>
      </c>
      <c r="W25" s="52"/>
      <c r="X25" s="55">
        <f>+P25-N25</f>
        <v>0</v>
      </c>
      <c r="Y25" s="52"/>
      <c r="Z25" s="55">
        <f>+R25-P25</f>
        <v>0</v>
      </c>
      <c r="AA25" s="52"/>
    </row>
    <row r="26" spans="1:27" ht="12.75">
      <c r="A26" s="1" t="s">
        <v>166</v>
      </c>
      <c r="B26" s="8">
        <f>SUM(B23:B25)</f>
        <v>1693.695734750324</v>
      </c>
      <c r="D26" s="8">
        <f>SUM(D23:D25)</f>
        <v>-2846.4330000000355</v>
      </c>
      <c r="F26" s="8">
        <f>SUM(F23:F25)</f>
        <v>8346.827550939235</v>
      </c>
      <c r="H26" s="8">
        <f>SUM(H23:H25)</f>
        <v>3956.5669999999664</v>
      </c>
      <c r="J26" s="8">
        <f>SUM(J23:J25)</f>
        <v>6653.131816188912</v>
      </c>
      <c r="L26" s="48">
        <f>SUM(L23:L25)</f>
        <v>4876</v>
      </c>
      <c r="M26" s="46"/>
      <c r="N26" s="48">
        <f>SUM(N23:N25)</f>
        <v>8955</v>
      </c>
      <c r="O26" s="46"/>
      <c r="P26" s="48">
        <f>SUM(P23:P25)</f>
        <v>6803</v>
      </c>
      <c r="Q26" s="46"/>
      <c r="R26" s="48">
        <f>SUM(R23:R25)</f>
        <v>3956.5669999999664</v>
      </c>
      <c r="S26" s="46"/>
      <c r="T26" s="54">
        <f>SUM(T23:T25)</f>
        <v>4876</v>
      </c>
      <c r="U26" s="52"/>
      <c r="V26" s="54">
        <f>SUM(V23:V25)</f>
        <v>4079</v>
      </c>
      <c r="W26" s="52"/>
      <c r="X26" s="54">
        <f>SUM(X23:X25)</f>
        <v>-2152</v>
      </c>
      <c r="Y26" s="52"/>
      <c r="Z26" s="54">
        <f>SUM(Z23:Z25)</f>
        <v>-2846.4330000000355</v>
      </c>
      <c r="AA26" s="52"/>
    </row>
    <row r="27" spans="1:27" ht="12.75">
      <c r="A27" s="1" t="s">
        <v>11</v>
      </c>
      <c r="B27" s="11">
        <f>+F27-J27</f>
        <v>403.29837537095887</v>
      </c>
      <c r="D27" s="11">
        <f>+Z27</f>
        <v>2023.868</v>
      </c>
      <c r="F27" s="11">
        <f>+'[5]FPI-CONSOL'!$S$59/1000</f>
        <v>-1374.549727757041</v>
      </c>
      <c r="H27" s="11">
        <f>+R27</f>
        <v>-626.132</v>
      </c>
      <c r="J27" s="11">
        <f>+'[9]IS'!F27</f>
        <v>-1777.8481031279998</v>
      </c>
      <c r="L27" s="49">
        <f>-3280--1480</f>
        <v>-1800</v>
      </c>
      <c r="M27" s="46"/>
      <c r="N27" s="49">
        <v>-3280</v>
      </c>
      <c r="O27" s="46"/>
      <c r="P27" s="49">
        <v>-2650</v>
      </c>
      <c r="Q27" s="46"/>
      <c r="R27" s="49">
        <f>-626132/1000</f>
        <v>-626.132</v>
      </c>
      <c r="S27" s="46"/>
      <c r="T27" s="55">
        <f>+L27</f>
        <v>-1800</v>
      </c>
      <c r="U27" s="52"/>
      <c r="V27" s="55">
        <f>+N27-L27</f>
        <v>-1480</v>
      </c>
      <c r="W27" s="52"/>
      <c r="X27" s="55">
        <f>+P27-N27</f>
        <v>630</v>
      </c>
      <c r="Y27" s="52"/>
      <c r="Z27" s="55">
        <f>+R27-P27</f>
        <v>2023.868</v>
      </c>
      <c r="AA27" s="52"/>
    </row>
    <row r="28" spans="1:27" ht="12.75">
      <c r="A28" s="1" t="s">
        <v>167</v>
      </c>
      <c r="B28" s="8">
        <f>SUM(B26:B27)</f>
        <v>2096.9941101212826</v>
      </c>
      <c r="D28" s="8">
        <f>SUM(D26:D27)</f>
        <v>-822.5650000000355</v>
      </c>
      <c r="F28" s="8">
        <f>SUM(F26:F27)</f>
        <v>6972.277823182194</v>
      </c>
      <c r="H28" s="8">
        <f>SUM(H26:H27)</f>
        <v>3330.4349999999663</v>
      </c>
      <c r="J28" s="8">
        <f>SUM(J26:J27)</f>
        <v>4875.283713060912</v>
      </c>
      <c r="L28" s="48">
        <f>SUM(L26:L27)</f>
        <v>3076</v>
      </c>
      <c r="M28" s="46"/>
      <c r="N28" s="48">
        <f>SUM(N26:N27)</f>
        <v>5675</v>
      </c>
      <c r="O28" s="46"/>
      <c r="P28" s="48">
        <f>SUM(P26:P27)</f>
        <v>4153</v>
      </c>
      <c r="Q28" s="46"/>
      <c r="R28" s="48">
        <f>SUM(R26:R27)</f>
        <v>3330.4349999999663</v>
      </c>
      <c r="S28" s="46"/>
      <c r="T28" s="54">
        <f>SUM(T26:T27)</f>
        <v>3076</v>
      </c>
      <c r="U28" s="52"/>
      <c r="V28" s="54">
        <f>SUM(V26:V27)</f>
        <v>2599</v>
      </c>
      <c r="W28" s="52"/>
      <c r="X28" s="54">
        <f>SUM(X26:X27)</f>
        <v>-1522</v>
      </c>
      <c r="Y28" s="52"/>
      <c r="Z28" s="54">
        <f>SUM(Z26:Z27)</f>
        <v>-822.5650000000355</v>
      </c>
      <c r="AA28" s="52"/>
    </row>
    <row r="29" spans="1:27" ht="12.75">
      <c r="A29" s="1" t="s">
        <v>12</v>
      </c>
      <c r="B29" s="8">
        <f>+F29-J29</f>
        <v>-100.91365082196324</v>
      </c>
      <c r="D29" s="8">
        <f>+Z29</f>
        <v>246.293</v>
      </c>
      <c r="F29" s="8">
        <f>+'[5]FPI-CONSOL'!$S$67/1000</f>
        <v>-150.6205208798755</v>
      </c>
      <c r="H29" s="8">
        <f>+R29</f>
        <v>383.293</v>
      </c>
      <c r="J29" s="11">
        <f>+'[9]IS'!F29</f>
        <v>-49.70687005791226</v>
      </c>
      <c r="L29" s="48">
        <f>161-40</f>
        <v>121</v>
      </c>
      <c r="M29" s="46"/>
      <c r="N29" s="48">
        <v>161</v>
      </c>
      <c r="O29" s="46"/>
      <c r="P29" s="48">
        <v>137</v>
      </c>
      <c r="Q29" s="46"/>
      <c r="R29" s="48">
        <f>383293/1000</f>
        <v>383.293</v>
      </c>
      <c r="S29" s="46"/>
      <c r="T29" s="54">
        <f>+L29</f>
        <v>121</v>
      </c>
      <c r="U29" s="52"/>
      <c r="V29" s="54">
        <f>+N29-L29</f>
        <v>40</v>
      </c>
      <c r="W29" s="52"/>
      <c r="X29" s="54">
        <f>+P29-N29</f>
        <v>-24</v>
      </c>
      <c r="Y29" s="52"/>
      <c r="Z29" s="54">
        <f>+R29-P29</f>
        <v>246.293</v>
      </c>
      <c r="AA29" s="52"/>
    </row>
    <row r="30" spans="1:27" s="2" customFormat="1" ht="13.5" thickBot="1">
      <c r="A30" s="2" t="s">
        <v>168</v>
      </c>
      <c r="B30" s="14">
        <f>SUM(B28:B29)</f>
        <v>1996.0804592993193</v>
      </c>
      <c r="D30" s="14">
        <f>SUM(D28:D29)</f>
        <v>-576.2720000000355</v>
      </c>
      <c r="F30" s="14">
        <f>SUM(F28:F29)</f>
        <v>6821.657302302318</v>
      </c>
      <c r="H30" s="14">
        <f>SUM(H28:H29)</f>
        <v>3713.7279999999664</v>
      </c>
      <c r="J30" s="14">
        <f>SUM(J28:J29)</f>
        <v>4825.576843003</v>
      </c>
      <c r="L30" s="50">
        <f>SUM(L28:L29)</f>
        <v>3197</v>
      </c>
      <c r="M30" s="51"/>
      <c r="N30" s="50">
        <f>SUM(N28:N29)</f>
        <v>5836</v>
      </c>
      <c r="O30" s="51"/>
      <c r="P30" s="50">
        <f>SUM(P28:P29)</f>
        <v>4290</v>
      </c>
      <c r="Q30" s="51"/>
      <c r="R30" s="50">
        <f>SUM(R28:R29)</f>
        <v>3713.7279999999664</v>
      </c>
      <c r="S30" s="51"/>
      <c r="T30" s="56">
        <f>SUM(T28:T29)</f>
        <v>3197</v>
      </c>
      <c r="U30" s="57"/>
      <c r="V30" s="56">
        <f>SUM(V28:V29)</f>
        <v>2639</v>
      </c>
      <c r="W30" s="57"/>
      <c r="X30" s="56">
        <f>SUM(X28:X29)</f>
        <v>-1546</v>
      </c>
      <c r="Y30" s="57"/>
      <c r="Z30" s="56">
        <f>SUM(Z28:Z29)</f>
        <v>-576.2720000000355</v>
      </c>
      <c r="AA30" s="57"/>
    </row>
    <row r="31" spans="2:26" ht="13.5" thickTop="1">
      <c r="B31" s="8"/>
      <c r="H31" s="8"/>
      <c r="J31" s="13"/>
      <c r="V31" s="13">
        <f>+V30+T30-N30</f>
        <v>0</v>
      </c>
      <c r="X31" s="13">
        <f>+X30+V30-P30+T30</f>
        <v>0</v>
      </c>
      <c r="Z31" s="13">
        <f>+Z30+X30-R30+V30+T30</f>
        <v>0</v>
      </c>
    </row>
    <row r="32" spans="1:8" ht="12.75">
      <c r="A32" s="1" t="s">
        <v>132</v>
      </c>
      <c r="B32" s="13"/>
      <c r="D32" s="13"/>
      <c r="F32" s="76"/>
      <c r="H32" s="8"/>
    </row>
    <row r="33" spans="1:8" ht="13.5" thickBot="1">
      <c r="A33" s="1" t="s">
        <v>133</v>
      </c>
      <c r="B33" s="15">
        <f>+B30/81952524*1000*100</f>
        <v>2.43565464719466</v>
      </c>
      <c r="D33" s="15">
        <f>+D30/81952524*1000*100</f>
        <v>-0.7031778545344565</v>
      </c>
      <c r="F33" s="15">
        <f>+F30/81952524*1000*100</f>
        <v>8.323913614060647</v>
      </c>
      <c r="H33" s="15">
        <f>+H30/81952524*1000*100</f>
        <v>4.531560248223674</v>
      </c>
    </row>
    <row r="34" spans="4:8" ht="13.5" thickTop="1">
      <c r="D34" s="1"/>
      <c r="H34" s="8"/>
    </row>
    <row r="35" spans="1:8" ht="13.5" thickBot="1">
      <c r="A35" s="1" t="s">
        <v>125</v>
      </c>
      <c r="B35" s="73">
        <f>+'[5]EPS'!$E$20</f>
        <v>2.337217424725616</v>
      </c>
      <c r="D35" s="15">
        <f>+'[5]EPS'!$H$20</f>
        <v>-0.5945883818563177</v>
      </c>
      <c r="F35" s="15">
        <f>+'[5]EPS'!$E$10</f>
        <v>8.023737669584706</v>
      </c>
      <c r="H35" s="15">
        <f>+'[5]EPS'!$H$10</f>
        <v>4.481515007991115</v>
      </c>
    </row>
    <row r="36" spans="2:24" ht="13.5" thickTop="1">
      <c r="B36" s="71"/>
      <c r="D36" s="17"/>
      <c r="F36" s="71"/>
      <c r="H36" s="17"/>
      <c r="X36" s="13"/>
    </row>
    <row r="37" spans="1:26" ht="12.75" hidden="1">
      <c r="A37" s="1" t="s">
        <v>107</v>
      </c>
      <c r="B37" s="59">
        <f>+F37-J37</f>
        <v>40.91075989659464</v>
      </c>
      <c r="D37" s="59">
        <f>+Z37</f>
        <v>127.02647634646632</v>
      </c>
      <c r="F37" s="58">
        <f>+'[5]FPI-CONSOL'!$S$47/1000</f>
        <v>316.79152</v>
      </c>
      <c r="H37" s="58">
        <f>+R37</f>
        <v>610.2170463464664</v>
      </c>
      <c r="J37" s="58">
        <f>+'[10]FPI-CONSOL'!$S$47/1000</f>
        <v>275.88076010340535</v>
      </c>
      <c r="L37" s="58">
        <f>+'[1]FPI-CONSOL'!$S$47/1000</f>
        <v>77.02345999999999</v>
      </c>
      <c r="N37" s="58">
        <f>+'[7]FPI-CONSOL'!$S$47/1000</f>
        <v>293.24043</v>
      </c>
      <c r="P37" s="58">
        <f>+'[6]FPI-CONSOL'!$S$47/1000</f>
        <v>483.1905700000001</v>
      </c>
      <c r="R37" s="58">
        <f>+'[8]FPI-CONSOL'!$S$47/1000</f>
        <v>610.2170463464664</v>
      </c>
      <c r="T37" s="58">
        <f>+L37</f>
        <v>77.02345999999999</v>
      </c>
      <c r="U37" s="58"/>
      <c r="V37" s="58">
        <f>+N37-L37</f>
        <v>216.21697</v>
      </c>
      <c r="W37" s="58"/>
      <c r="X37" s="58">
        <f>+P37-N37</f>
        <v>189.9501400000001</v>
      </c>
      <c r="Y37" s="58"/>
      <c r="Z37" s="58">
        <f>+R37-P37</f>
        <v>127.02647634646632</v>
      </c>
    </row>
    <row r="38" spans="4:26" ht="12.75" hidden="1">
      <c r="D38" s="1"/>
      <c r="H38" s="58"/>
      <c r="J38" s="58"/>
      <c r="L38" s="58"/>
      <c r="P38" s="58"/>
      <c r="R38" s="58"/>
      <c r="T38" s="58"/>
      <c r="U38" s="58"/>
      <c r="V38" s="58"/>
      <c r="W38" s="58"/>
      <c r="X38" s="58"/>
      <c r="Y38" s="58"/>
      <c r="Z38" s="58"/>
    </row>
    <row r="39" spans="1:26" ht="12.75" hidden="1">
      <c r="A39" s="1" t="s">
        <v>108</v>
      </c>
      <c r="B39" s="59">
        <f>+F39-J39</f>
        <v>241.0597819634704</v>
      </c>
      <c r="D39" s="59">
        <f>+Z39</f>
        <v>101.31803093674796</v>
      </c>
      <c r="F39" s="58">
        <f>+('[5]FPI-CONSOL'!$S$354-'[5]FPI-CONSOL'!$S$345)/1000</f>
        <v>881.8034236258276</v>
      </c>
      <c r="H39" s="58">
        <f>+R39</f>
        <v>699</v>
      </c>
      <c r="J39" s="58">
        <f>(+'[10]FPI-CONSOL'!$S$354-'[10]FPI-CONSOL'!$S$345)/1000</f>
        <v>640.7436416623572</v>
      </c>
      <c r="L39" s="58">
        <f>+'[1]FPI-CONSOL'!$S$352/1000-'[1]FPI-CONSOL'!$S$343/1000</f>
        <v>186.52175984492183</v>
      </c>
      <c r="N39" s="58">
        <f>+'[7]FPI-CONSOL'!$S$352/1000-'[7]FPI-CONSOL'!$S$343/1000</f>
        <v>400.7238546495788</v>
      </c>
      <c r="P39" s="58">
        <f>+'[6]FPI-CONSOL'!$S$352/1000-'[6]FPI-CONSOL'!$S$343/1000</f>
        <v>597.681969063252</v>
      </c>
      <c r="R39" s="58">
        <v>699</v>
      </c>
      <c r="T39" s="58">
        <f>+L39</f>
        <v>186.52175984492183</v>
      </c>
      <c r="U39" s="58"/>
      <c r="V39" s="58">
        <f>+N39-L39</f>
        <v>214.20209480465698</v>
      </c>
      <c r="W39" s="58"/>
      <c r="X39" s="58">
        <f>+P39-N39</f>
        <v>196.95811441367323</v>
      </c>
      <c r="Y39" s="58"/>
      <c r="Z39" s="58">
        <f>+R39-P39</f>
        <v>101.31803093674796</v>
      </c>
    </row>
    <row r="40" spans="4:24" ht="12.75" hidden="1">
      <c r="D40" s="1"/>
      <c r="H40" s="8"/>
      <c r="X40" s="13"/>
    </row>
    <row r="41" spans="4:8" ht="12.75">
      <c r="D41" s="1"/>
      <c r="H41" s="8"/>
    </row>
    <row r="42" spans="1:8" ht="13.5">
      <c r="A42" s="16" t="s">
        <v>98</v>
      </c>
      <c r="D42" s="1"/>
      <c r="H42" s="8"/>
    </row>
    <row r="43" spans="1:8" ht="13.5">
      <c r="A43" s="16" t="s">
        <v>123</v>
      </c>
      <c r="D43" s="1"/>
      <c r="H43" s="8"/>
    </row>
    <row r="44" spans="4:8" ht="12.75">
      <c r="D44" s="1"/>
      <c r="H44" s="8"/>
    </row>
  </sheetData>
  <mergeCells count="17">
    <mergeCell ref="T9:AA9"/>
    <mergeCell ref="T10:T12"/>
    <mergeCell ref="V10:V12"/>
    <mergeCell ref="X10:X12"/>
    <mergeCell ref="Z10:Z12"/>
    <mergeCell ref="N10:N12"/>
    <mergeCell ref="P10:P12"/>
    <mergeCell ref="R10:R12"/>
    <mergeCell ref="L9:S9"/>
    <mergeCell ref="J10:J12"/>
    <mergeCell ref="L10:L12"/>
    <mergeCell ref="D10:D12"/>
    <mergeCell ref="B9:D9"/>
    <mergeCell ref="F9:H9"/>
    <mergeCell ref="B10:B12"/>
    <mergeCell ref="F10:F12"/>
    <mergeCell ref="H10:H12"/>
  </mergeCells>
  <printOptions/>
  <pageMargins left="0.5" right="0.5" top="1.5" bottom="0.5" header="0.25" footer="0.2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54">
      <selection activeCell="B70" sqref="B70"/>
    </sheetView>
  </sheetViews>
  <sheetFormatPr defaultColWidth="9.140625" defaultRowHeight="12.75"/>
  <cols>
    <col min="1" max="1" width="1.421875" style="1" customWidth="1"/>
    <col min="2" max="2" width="45.7109375" style="1" customWidth="1"/>
    <col min="3" max="3" width="14.7109375" style="23" customWidth="1"/>
    <col min="4" max="4" width="1.421875" style="23" customWidth="1"/>
    <col min="5" max="5" width="14.7109375" style="24" customWidth="1"/>
    <col min="6" max="6" width="0.71875" style="1" customWidth="1"/>
    <col min="7" max="7" width="9.140625" style="8" hidden="1" customWidth="1"/>
    <col min="8" max="8" width="0.71875" style="1" customWidth="1"/>
    <col min="9" max="9" width="9.140625" style="1" customWidth="1"/>
    <col min="10" max="10" width="0.71875" style="1" customWidth="1"/>
    <col min="11" max="11" width="9.140625" style="1" hidden="1" customWidth="1"/>
    <col min="12" max="12" width="0.71875" style="1" hidden="1" customWidth="1"/>
    <col min="13" max="13" width="9.140625" style="1" hidden="1" customWidth="1"/>
    <col min="14" max="14" width="0.71875" style="1" hidden="1" customWidth="1"/>
    <col min="15" max="16384" width="7.8515625" style="1" customWidth="1"/>
  </cols>
  <sheetData>
    <row r="1" spans="1:2" ht="15.75" hidden="1">
      <c r="A1" s="3" t="s">
        <v>0</v>
      </c>
      <c r="B1" s="3"/>
    </row>
    <row r="2" spans="1:2" ht="15.75">
      <c r="A2" s="3" t="s">
        <v>154</v>
      </c>
      <c r="B2" s="3"/>
    </row>
    <row r="3" spans="1:2" ht="15.75">
      <c r="A3" s="3" t="s">
        <v>142</v>
      </c>
      <c r="B3" s="3"/>
    </row>
    <row r="4" spans="1:2" ht="15.75">
      <c r="A4" s="3" t="s">
        <v>102</v>
      </c>
      <c r="B4" s="3"/>
    </row>
    <row r="6" spans="1:2" ht="13.5">
      <c r="A6" s="4" t="s">
        <v>145</v>
      </c>
      <c r="B6" s="4"/>
    </row>
    <row r="8" spans="3:13" ht="14.25">
      <c r="C8" s="89" t="s">
        <v>53</v>
      </c>
      <c r="E8" s="89" t="s">
        <v>54</v>
      </c>
      <c r="K8" s="86" t="s">
        <v>14</v>
      </c>
      <c r="L8" s="86"/>
      <c r="M8" s="86"/>
    </row>
    <row r="9" spans="3:13" ht="12.75" customHeight="1">
      <c r="C9" s="89"/>
      <c r="E9" s="89"/>
      <c r="K9" s="83" t="s">
        <v>16</v>
      </c>
      <c r="M9" s="85" t="s">
        <v>17</v>
      </c>
    </row>
    <row r="10" spans="3:13" ht="12.75">
      <c r="C10" s="25" t="s">
        <v>144</v>
      </c>
      <c r="E10" s="25" t="s">
        <v>109</v>
      </c>
      <c r="K10" s="83"/>
      <c r="M10" s="85"/>
    </row>
    <row r="11" spans="3:13" ht="12.75">
      <c r="C11" s="25" t="s">
        <v>18</v>
      </c>
      <c r="D11" s="26"/>
      <c r="E11" s="27" t="str">
        <f>+C11</f>
        <v>RM'000</v>
      </c>
      <c r="K11" s="83"/>
      <c r="M11" s="85"/>
    </row>
    <row r="12" ht="4.5" customHeight="1">
      <c r="K12" s="8"/>
    </row>
    <row r="13" spans="1:13" ht="13.5">
      <c r="A13" s="20" t="s">
        <v>19</v>
      </c>
      <c r="B13" s="20"/>
      <c r="C13" s="28">
        <f>+'[4]BS'!$U$10/1000</f>
        <v>77582.63391219999</v>
      </c>
      <c r="D13" s="29"/>
      <c r="E13" s="28">
        <f>+'[4]BS'!W10/1000</f>
        <v>83271.78</v>
      </c>
      <c r="K13" s="8">
        <f>+'[1]FPI-CONSOL'!$S$12/1000</f>
        <v>74956.54578822663</v>
      </c>
      <c r="M13" s="8">
        <f>+'[3]2nd QUARTER'!$U$19</f>
        <v>83080.58119369253</v>
      </c>
    </row>
    <row r="14" spans="1:13" ht="4.5" customHeight="1">
      <c r="A14" s="20"/>
      <c r="B14" s="20"/>
      <c r="C14" s="28"/>
      <c r="D14" s="29"/>
      <c r="E14" s="28"/>
      <c r="K14" s="8"/>
      <c r="M14" s="8"/>
    </row>
    <row r="15" spans="1:13" ht="13.5">
      <c r="A15" s="20" t="s">
        <v>20</v>
      </c>
      <c r="B15" s="20"/>
      <c r="C15" s="28">
        <f>+'[4]BS'!U11/1000</f>
        <v>900.53299</v>
      </c>
      <c r="D15" s="29"/>
      <c r="E15" s="28">
        <f>+'[4]BS'!W11/1000</f>
        <v>1065.111</v>
      </c>
      <c r="K15" s="11">
        <f>+'[1]FPI-CONSOL'!$S$25/1000</f>
        <v>-63563.24743743165</v>
      </c>
      <c r="M15" s="11">
        <f>+'[2]FPI-CONSOL'!$Q$25/1000-451-407-8+3</f>
        <v>-75187.85344637326</v>
      </c>
    </row>
    <row r="16" spans="1:13" ht="13.5" hidden="1">
      <c r="A16" s="20" t="s">
        <v>21</v>
      </c>
      <c r="B16" s="20"/>
      <c r="C16" s="28">
        <f>+'[4]BS'!U12/1000</f>
        <v>-4.0000006556510926E-05</v>
      </c>
      <c r="D16" s="29"/>
      <c r="E16" s="28">
        <f>+'[4]BS'!W12/1000</f>
        <v>0</v>
      </c>
      <c r="K16" s="8">
        <f>SUM(K13:K15)</f>
        <v>11393.298350794983</v>
      </c>
      <c r="M16" s="8">
        <f>SUM(M13:M15)</f>
        <v>7892.727747319266</v>
      </c>
    </row>
    <row r="17" spans="1:13" ht="4.5" customHeight="1">
      <c r="A17" s="20"/>
      <c r="B17" s="20"/>
      <c r="C17" s="28"/>
      <c r="D17" s="29"/>
      <c r="E17" s="28"/>
      <c r="K17" s="8"/>
      <c r="M17" s="8"/>
    </row>
    <row r="18" spans="1:13" ht="13.5">
      <c r="A18" s="20" t="s">
        <v>115</v>
      </c>
      <c r="B18" s="20"/>
      <c r="C18" s="28">
        <f>+'[4]BS'!$U$13/1000</f>
        <v>30609.329612725927</v>
      </c>
      <c r="D18" s="29"/>
      <c r="E18" s="28">
        <f>+'[4]BS'!$W$13/1000</f>
        <v>7327.669</v>
      </c>
      <c r="K18" s="8">
        <f>+'[1]FPI-CONSOL'!$S$51/1000</f>
        <v>649.4105477375986</v>
      </c>
      <c r="M18" s="8">
        <f>+'[2]FPI-CONSOL'!$Q$51/1000</f>
        <v>533.7373825712117</v>
      </c>
    </row>
    <row r="19" spans="1:13" ht="4.5" customHeight="1">
      <c r="A19" s="20"/>
      <c r="B19" s="20"/>
      <c r="C19" s="28"/>
      <c r="D19" s="29"/>
      <c r="E19" s="28"/>
      <c r="K19" s="8">
        <f>-'[1]FPI-CONSOL'!S31/1000</f>
        <v>-2606.155532849856</v>
      </c>
      <c r="M19" s="8">
        <f>-'[2]FPI-CONSOL'!$Q$31/1000</f>
        <v>-1828.0669884627164</v>
      </c>
    </row>
    <row r="20" spans="1:13" ht="13.5" customHeight="1">
      <c r="A20" s="20" t="s">
        <v>120</v>
      </c>
      <c r="B20" s="20"/>
      <c r="C20" s="28">
        <f>+'[4]BS'!$U$14/1000</f>
        <v>0</v>
      </c>
      <c r="D20" s="29"/>
      <c r="E20" s="28">
        <f>+'[4]BS'!$W$14/1000</f>
        <v>14177.743</v>
      </c>
      <c r="K20" s="8"/>
      <c r="M20" s="8"/>
    </row>
    <row r="21" spans="1:13" ht="4.5" customHeight="1">
      <c r="A21" s="20"/>
      <c r="B21" s="20"/>
      <c r="C21" s="28"/>
      <c r="D21" s="29"/>
      <c r="E21" s="28"/>
      <c r="K21" s="8"/>
      <c r="M21" s="8"/>
    </row>
    <row r="22" spans="1:13" ht="13.5" customHeight="1">
      <c r="A22" s="20" t="s">
        <v>22</v>
      </c>
      <c r="B22" s="20"/>
      <c r="C22" s="28">
        <f>+'[4]BS'!U15/1000</f>
        <v>3781.007699124464</v>
      </c>
      <c r="D22" s="29"/>
      <c r="E22" s="28">
        <f>+'[4]BS'!W15/1000</f>
        <v>4000.282</v>
      </c>
      <c r="K22" s="8">
        <f>-'[1]FPI-CONSOL'!S32/1000</f>
        <v>-2533.2147092976534</v>
      </c>
      <c r="M22" s="8">
        <f>-'[2]FPI-CONSOL'!$Q$32/1000</f>
        <v>-2241.0832988254274</v>
      </c>
    </row>
    <row r="23" spans="1:13" ht="4.5" customHeight="1">
      <c r="A23" s="20"/>
      <c r="B23" s="20"/>
      <c r="C23" s="28"/>
      <c r="D23" s="29"/>
      <c r="E23" s="28"/>
      <c r="K23" s="8"/>
      <c r="M23" s="8"/>
    </row>
    <row r="24" spans="1:13" ht="13.5" customHeight="1">
      <c r="A24" s="20" t="s">
        <v>157</v>
      </c>
      <c r="B24" s="20"/>
      <c r="C24" s="28">
        <f>+'[4]BS'!U16/1000</f>
        <v>800</v>
      </c>
      <c r="D24" s="29"/>
      <c r="E24" s="28">
        <f>+'[4]BS'!W16/1000</f>
        <v>0</v>
      </c>
      <c r="K24" s="8"/>
      <c r="M24" s="8"/>
    </row>
    <row r="25" spans="1:13" ht="4.5" customHeight="1">
      <c r="A25" s="20"/>
      <c r="B25" s="20"/>
      <c r="C25" s="28"/>
      <c r="D25" s="29"/>
      <c r="E25" s="28"/>
      <c r="K25" s="8"/>
      <c r="M25" s="8"/>
    </row>
    <row r="26" spans="1:13" ht="13.5">
      <c r="A26" s="20" t="s">
        <v>23</v>
      </c>
      <c r="B26" s="20"/>
      <c r="C26" s="28"/>
      <c r="D26" s="29"/>
      <c r="E26" s="28"/>
      <c r="K26" s="11">
        <f>-'[1]FPI-CONSOL'!S33/1000</f>
        <v>-1830.2900510547702</v>
      </c>
      <c r="M26" s="11">
        <f>-'[2]FPI-CONSOL'!$Q$33/1000</f>
        <v>-683.3954399999999</v>
      </c>
    </row>
    <row r="27" spans="1:13" ht="13.5">
      <c r="A27" s="20"/>
      <c r="B27" s="20" t="s">
        <v>24</v>
      </c>
      <c r="C27" s="30">
        <f>+'[4]BS'!U18/1000</f>
        <v>37458.470935953366</v>
      </c>
      <c r="D27" s="29"/>
      <c r="E27" s="30">
        <f>+'[4]BS'!W18/1000</f>
        <v>34074.484</v>
      </c>
      <c r="K27" s="8">
        <f>SUM(K16:K26)</f>
        <v>5073.048605330301</v>
      </c>
      <c r="M27" s="8">
        <f>SUM(M16:M26)</f>
        <v>3673.919402602333</v>
      </c>
    </row>
    <row r="28" spans="1:13" ht="13.5">
      <c r="A28" s="20"/>
      <c r="B28" s="20" t="s">
        <v>116</v>
      </c>
      <c r="C28" s="31">
        <f>+'[4]BS'!U19/1000</f>
        <v>73749.29151061499</v>
      </c>
      <c r="D28" s="29"/>
      <c r="E28" s="31">
        <f>+'[4]BS'!W19/1000</f>
        <v>56391.485</v>
      </c>
      <c r="K28" s="8">
        <f>-'[1]FPI-CONSOL'!$S$34/1000</f>
        <v>-195.84356984492183</v>
      </c>
      <c r="M28" s="8">
        <f>-383-3</f>
        <v>-386</v>
      </c>
    </row>
    <row r="29" spans="1:13" ht="13.5">
      <c r="A29" s="20"/>
      <c r="B29" s="20" t="s">
        <v>117</v>
      </c>
      <c r="C29" s="31">
        <f>+'[4]BS'!U20/1000</f>
        <v>8681.069205</v>
      </c>
      <c r="D29" s="29"/>
      <c r="E29" s="31">
        <f>+'[4]BS'!W20/1000</f>
        <v>5928.299</v>
      </c>
      <c r="K29" s="11">
        <v>0</v>
      </c>
      <c r="M29" s="11">
        <v>0</v>
      </c>
    </row>
    <row r="30" spans="1:13" ht="13.5" hidden="1">
      <c r="A30" s="20"/>
      <c r="B30" s="20" t="s">
        <v>25</v>
      </c>
      <c r="C30" s="31">
        <f>+'[4]BS'!U21/1000</f>
        <v>0</v>
      </c>
      <c r="D30" s="29"/>
      <c r="E30" s="31">
        <f>+'[4]BS'!W21/1000</f>
        <v>0</v>
      </c>
      <c r="K30" s="8">
        <f>SUM(K27:K29)</f>
        <v>4877.205035485379</v>
      </c>
      <c r="M30" s="8">
        <f>SUM(M27:M29)</f>
        <v>3287.919402602333</v>
      </c>
    </row>
    <row r="31" spans="1:13" ht="13.5">
      <c r="A31" s="20"/>
      <c r="B31" s="20" t="s">
        <v>26</v>
      </c>
      <c r="C31" s="31">
        <f>+'[4]BS'!U22/1000</f>
        <v>2514.68694</v>
      </c>
      <c r="D31" s="29"/>
      <c r="E31" s="31">
        <f>+'[4]BS'!W22/1000</f>
        <v>1837.571</v>
      </c>
      <c r="K31" s="11">
        <f>+'[1]FPI-CONSOL'!$S$57/1000</f>
        <v>-1800</v>
      </c>
      <c r="M31" s="11">
        <f>+'[2]FPI-CONSOL'!$Q$57/1000</f>
        <v>-860</v>
      </c>
    </row>
    <row r="32" spans="1:13" ht="13.5" hidden="1">
      <c r="A32" s="20"/>
      <c r="B32" s="20" t="s">
        <v>27</v>
      </c>
      <c r="C32" s="31">
        <f>+'[4]BS'!U23/1000</f>
        <v>4.656612873077393E-13</v>
      </c>
      <c r="D32" s="29"/>
      <c r="E32" s="31">
        <f>+'[4]BS'!W23/1000</f>
        <v>0</v>
      </c>
      <c r="K32" s="8">
        <f>SUM(K30:K31)</f>
        <v>3077.205035485379</v>
      </c>
      <c r="M32" s="8">
        <f>SUM(M30:M31)</f>
        <v>2427.919402602333</v>
      </c>
    </row>
    <row r="33" spans="1:13" ht="13.5" hidden="1">
      <c r="A33" s="20"/>
      <c r="B33" s="20" t="s">
        <v>28</v>
      </c>
      <c r="C33" s="31">
        <f>+'[4]BS'!U24/1000</f>
        <v>0</v>
      </c>
      <c r="D33" s="29"/>
      <c r="E33" s="31">
        <f>+'[4]BS'!W24/1000</f>
        <v>0</v>
      </c>
      <c r="K33" s="8">
        <f>+'[1]FPI-CONSOL'!$S$65/1000</f>
        <v>120.78412834499997</v>
      </c>
      <c r="M33" s="8">
        <f>639-232</f>
        <v>407</v>
      </c>
    </row>
    <row r="34" spans="1:13" s="2" customFormat="1" ht="14.25" customHeight="1" hidden="1" thickBot="1">
      <c r="A34" s="20"/>
      <c r="B34" s="20" t="s">
        <v>29</v>
      </c>
      <c r="C34" s="31">
        <v>0</v>
      </c>
      <c r="D34" s="29"/>
      <c r="E34" s="31">
        <v>0</v>
      </c>
      <c r="F34" s="1"/>
      <c r="G34" s="8"/>
      <c r="H34" s="1"/>
      <c r="I34" s="1"/>
      <c r="J34" s="1"/>
      <c r="K34" s="14">
        <f>SUM(K32:K33)</f>
        <v>3197.989163830379</v>
      </c>
      <c r="M34" s="14">
        <f>SUM(M32:M33)</f>
        <v>2834.919402602333</v>
      </c>
    </row>
    <row r="35" spans="1:5" ht="13.5" hidden="1">
      <c r="A35" s="20"/>
      <c r="B35" s="20" t="s">
        <v>30</v>
      </c>
      <c r="C35" s="31">
        <f>+'[4]BS'!U25/1000</f>
        <v>0</v>
      </c>
      <c r="D35" s="29" t="s">
        <v>55</v>
      </c>
      <c r="E35" s="31">
        <f>+'[4]BS'!W25/1000</f>
        <v>0</v>
      </c>
    </row>
    <row r="36" spans="1:5" ht="13.5">
      <c r="A36" s="20"/>
      <c r="B36" s="21" t="s">
        <v>94</v>
      </c>
      <c r="C36" s="31">
        <f>+'[4]BS'!U26/1000</f>
        <v>16908.9</v>
      </c>
      <c r="D36" s="29"/>
      <c r="E36" s="31">
        <f>+'[4]BS'!W26/1000</f>
        <v>21158.9</v>
      </c>
    </row>
    <row r="37" spans="1:10" ht="13.5">
      <c r="A37" s="20"/>
      <c r="B37" s="20" t="s">
        <v>31</v>
      </c>
      <c r="C37" s="31">
        <f>+'[4]BS'!U27/1000</f>
        <v>4403.575391999998</v>
      </c>
      <c r="D37" s="29"/>
      <c r="E37" s="31">
        <f>+'[4]BS'!W27/1000</f>
        <v>6904.474</v>
      </c>
      <c r="G37" s="19"/>
      <c r="H37" s="17"/>
      <c r="I37" s="19"/>
      <c r="J37" s="17"/>
    </row>
    <row r="38" spans="1:10" ht="13.5">
      <c r="A38" s="20"/>
      <c r="B38" s="20"/>
      <c r="C38" s="32">
        <f>SUM(C27:C37)</f>
        <v>143715.99398356836</v>
      </c>
      <c r="D38" s="29"/>
      <c r="E38" s="32">
        <f>SUM(E27:E37)</f>
        <v>126295.213</v>
      </c>
      <c r="G38" s="18"/>
      <c r="H38" s="17"/>
      <c r="I38" s="18"/>
      <c r="J38" s="17"/>
    </row>
    <row r="39" spans="1:10" ht="13.5">
      <c r="A39" s="20" t="s">
        <v>32</v>
      </c>
      <c r="B39" s="20"/>
      <c r="C39" s="31"/>
      <c r="D39" s="29"/>
      <c r="E39" s="31"/>
      <c r="G39" s="18"/>
      <c r="H39" s="17"/>
      <c r="I39" s="18"/>
      <c r="J39" s="17"/>
    </row>
    <row r="40" spans="1:10" ht="13.5">
      <c r="A40" s="20"/>
      <c r="B40" s="20" t="s">
        <v>118</v>
      </c>
      <c r="C40" s="31">
        <f>+'[4]BS'!U30/1000</f>
        <v>39713.121765615004</v>
      </c>
      <c r="D40" s="29"/>
      <c r="E40" s="31">
        <f>+'[4]BS'!W30/1000</f>
        <v>22310.674</v>
      </c>
      <c r="G40" s="18"/>
      <c r="H40" s="17"/>
      <c r="I40" s="18"/>
      <c r="J40" s="17"/>
    </row>
    <row r="41" spans="1:10" ht="13.5">
      <c r="A41" s="20"/>
      <c r="B41" s="20" t="s">
        <v>119</v>
      </c>
      <c r="C41" s="31">
        <f>+'[4]BS'!U31/1000</f>
        <v>6653.497364999999</v>
      </c>
      <c r="D41" s="29"/>
      <c r="E41" s="31">
        <f>+'[4]BS'!W31/1000</f>
        <v>8430.88</v>
      </c>
      <c r="G41" s="18"/>
      <c r="H41" s="17"/>
      <c r="I41" s="18"/>
      <c r="J41" s="17"/>
    </row>
    <row r="42" spans="1:10" ht="13.5" hidden="1">
      <c r="A42" s="20"/>
      <c r="B42" s="21" t="s">
        <v>112</v>
      </c>
      <c r="C42" s="31">
        <f>+'[4]BS'!U32/1000</f>
        <v>0</v>
      </c>
      <c r="D42" s="29"/>
      <c r="E42" s="31">
        <f>+'[4]BS'!W32/1000</f>
        <v>0</v>
      </c>
      <c r="G42" s="18"/>
      <c r="H42" s="17"/>
      <c r="I42" s="18"/>
      <c r="J42" s="17"/>
    </row>
    <row r="43" spans="1:10" ht="13.5" hidden="1">
      <c r="A43" s="20"/>
      <c r="B43" s="21" t="s">
        <v>33</v>
      </c>
      <c r="C43" s="31">
        <f>+'[4]BS'!U33/1000</f>
        <v>0</v>
      </c>
      <c r="D43" s="29"/>
      <c r="E43" s="31">
        <f>+'[4]BS'!W33/1000</f>
        <v>0</v>
      </c>
      <c r="G43" s="18"/>
      <c r="H43" s="17"/>
      <c r="I43" s="17"/>
      <c r="J43" s="17"/>
    </row>
    <row r="44" spans="1:10" ht="13.5" hidden="1">
      <c r="A44" s="20"/>
      <c r="B44" s="20" t="s">
        <v>34</v>
      </c>
      <c r="C44" s="31">
        <f>+'[4]BS'!U34/1000</f>
        <v>0</v>
      </c>
      <c r="D44" s="29"/>
      <c r="E44" s="31">
        <f>+'[4]BS'!W34/1000</f>
        <v>0</v>
      </c>
      <c r="G44" s="18"/>
      <c r="H44" s="17"/>
      <c r="I44" s="17"/>
      <c r="J44" s="17"/>
    </row>
    <row r="45" spans="1:10" ht="13.5" hidden="1">
      <c r="A45" s="20"/>
      <c r="B45" s="20" t="s">
        <v>35</v>
      </c>
      <c r="C45" s="31">
        <f>+'[4]BS'!U35/1000</f>
        <v>0</v>
      </c>
      <c r="D45" s="29"/>
      <c r="E45" s="31">
        <f>+'[4]BS'!W35/1000</f>
        <v>0</v>
      </c>
      <c r="G45" s="18"/>
      <c r="H45" s="17"/>
      <c r="I45" s="17"/>
      <c r="J45" s="17"/>
    </row>
    <row r="46" spans="1:10" ht="13.5" hidden="1">
      <c r="A46" s="20"/>
      <c r="B46" s="20" t="s">
        <v>36</v>
      </c>
      <c r="C46" s="31">
        <f>+'[4]BS'!U36/1000</f>
        <v>0</v>
      </c>
      <c r="D46" s="29"/>
      <c r="E46" s="31">
        <f>+'[4]BS'!W36/1000</f>
        <v>0</v>
      </c>
      <c r="G46" s="18"/>
      <c r="H46" s="17"/>
      <c r="I46" s="17"/>
      <c r="J46" s="17"/>
    </row>
    <row r="47" spans="1:10" ht="13.5">
      <c r="A47" s="20"/>
      <c r="B47" s="20" t="s">
        <v>37</v>
      </c>
      <c r="C47" s="31">
        <f>+'[4]BS'!U37/1000</f>
        <v>20315</v>
      </c>
      <c r="D47" s="29"/>
      <c r="E47" s="31">
        <f>+'[4]BS'!W37/1000</f>
        <v>16488.989</v>
      </c>
      <c r="G47" s="18"/>
      <c r="H47" s="17"/>
      <c r="I47" s="17"/>
      <c r="J47" s="17"/>
    </row>
    <row r="48" spans="1:10" ht="13.5" hidden="1">
      <c r="A48" s="20"/>
      <c r="B48" s="20" t="s">
        <v>38</v>
      </c>
      <c r="C48" s="31">
        <f>+'[4]BS'!U38/1000</f>
        <v>0</v>
      </c>
      <c r="D48" s="29"/>
      <c r="E48" s="31">
        <f>+'[4]BS'!W38/1000</f>
        <v>0</v>
      </c>
      <c r="G48" s="18"/>
      <c r="H48" s="17"/>
      <c r="I48" s="17"/>
      <c r="J48" s="17"/>
    </row>
    <row r="49" spans="1:10" ht="13.5" hidden="1">
      <c r="A49" s="20"/>
      <c r="B49" s="20" t="s">
        <v>39</v>
      </c>
      <c r="C49" s="31">
        <f>+'[4]BS'!U39/1000</f>
        <v>0</v>
      </c>
      <c r="D49" s="29"/>
      <c r="E49" s="31">
        <f>+'[4]BS'!W39/1000</f>
        <v>0</v>
      </c>
      <c r="G49" s="18"/>
      <c r="H49" s="17"/>
      <c r="I49" s="17"/>
      <c r="J49" s="17"/>
    </row>
    <row r="50" spans="1:10" ht="13.5">
      <c r="A50" s="20"/>
      <c r="B50" s="20"/>
      <c r="C50" s="32">
        <f>SUM(C40:C49)</f>
        <v>66681.619130615</v>
      </c>
      <c r="D50" s="29"/>
      <c r="E50" s="32">
        <f>SUM(E40:E49)</f>
        <v>47230.543</v>
      </c>
      <c r="G50" s="18"/>
      <c r="H50" s="17"/>
      <c r="I50" s="17"/>
      <c r="J50" s="17"/>
    </row>
    <row r="51" spans="1:10" ht="4.5" customHeight="1">
      <c r="A51" s="20"/>
      <c r="B51" s="20"/>
      <c r="C51" s="28"/>
      <c r="D51" s="29"/>
      <c r="E51" s="28"/>
      <c r="G51" s="18"/>
      <c r="H51" s="17"/>
      <c r="I51" s="17"/>
      <c r="J51" s="17"/>
    </row>
    <row r="52" spans="1:10" ht="13.5">
      <c r="A52" s="20" t="s">
        <v>96</v>
      </c>
      <c r="B52" s="20"/>
      <c r="C52" s="28">
        <f>C38-C50</f>
        <v>77034.37485295336</v>
      </c>
      <c r="D52" s="29"/>
      <c r="E52" s="28">
        <f>E38-E50</f>
        <v>79064.67000000001</v>
      </c>
      <c r="G52" s="18"/>
      <c r="H52" s="17"/>
      <c r="I52" s="17"/>
      <c r="J52" s="17"/>
    </row>
    <row r="53" spans="1:10" ht="14.25" thickBot="1">
      <c r="A53" s="20"/>
      <c r="B53" s="20"/>
      <c r="C53" s="33">
        <f>C52+SUM(C13:C24)</f>
        <v>190707.87902700374</v>
      </c>
      <c r="D53" s="29"/>
      <c r="E53" s="33">
        <f>E52+SUM(E13:E24)</f>
        <v>188907.255</v>
      </c>
      <c r="G53" s="18"/>
      <c r="H53" s="17"/>
      <c r="I53" s="17"/>
      <c r="J53" s="17"/>
    </row>
    <row r="54" spans="1:10" ht="14.25" thickTop="1">
      <c r="A54" s="22" t="s">
        <v>40</v>
      </c>
      <c r="B54" s="20"/>
      <c r="C54" s="28"/>
      <c r="D54" s="29"/>
      <c r="E54" s="28"/>
      <c r="G54" s="18"/>
      <c r="H54" s="17"/>
      <c r="I54" s="17"/>
      <c r="J54" s="17"/>
    </row>
    <row r="55" spans="1:10" ht="13.5">
      <c r="A55" s="20" t="s">
        <v>41</v>
      </c>
      <c r="B55" s="20"/>
      <c r="C55" s="29">
        <f>+'[4]BS'!U45/1000</f>
        <v>81957.5244</v>
      </c>
      <c r="D55" s="29"/>
      <c r="E55" s="29">
        <f>+'[4]BS'!W45/1000</f>
        <v>81952.52429999999</v>
      </c>
      <c r="G55" s="18"/>
      <c r="H55" s="17"/>
      <c r="I55" s="17"/>
      <c r="J55" s="17"/>
    </row>
    <row r="56" spans="1:10" ht="4.5" customHeight="1">
      <c r="A56" s="20"/>
      <c r="B56" s="20"/>
      <c r="C56" s="29"/>
      <c r="D56" s="29"/>
      <c r="E56" s="29"/>
      <c r="G56" s="18"/>
      <c r="H56" s="17"/>
      <c r="I56" s="17"/>
      <c r="J56" s="17"/>
    </row>
    <row r="57" spans="1:5" ht="13.5">
      <c r="A57" s="20" t="s">
        <v>42</v>
      </c>
      <c r="B57" s="20"/>
      <c r="C57" s="29"/>
      <c r="D57" s="29"/>
      <c r="E57" s="29"/>
    </row>
    <row r="58" spans="1:5" ht="13.5">
      <c r="A58" s="20"/>
      <c r="B58" s="20" t="s">
        <v>43</v>
      </c>
      <c r="C58" s="29">
        <f>+'[4]BS'!U48/1000</f>
        <v>33913.786329999995</v>
      </c>
      <c r="D58" s="29"/>
      <c r="E58" s="29">
        <f>+'[4]BS'!W48/1000</f>
        <v>33912.236</v>
      </c>
    </row>
    <row r="59" spans="1:5" ht="13.5">
      <c r="A59" s="20"/>
      <c r="B59" s="20" t="s">
        <v>44</v>
      </c>
      <c r="C59" s="29">
        <f>+'[4]BS'!U49/1000</f>
        <v>1259.1570800000004</v>
      </c>
      <c r="D59" s="29"/>
      <c r="E59" s="29">
        <f>+'[4]BS'!W49/1000</f>
        <v>1259.157</v>
      </c>
    </row>
    <row r="60" spans="1:5" ht="13.5">
      <c r="A60" s="20"/>
      <c r="B60" s="20" t="s">
        <v>45</v>
      </c>
      <c r="C60" s="29">
        <f>+'[4]BS'!U50/1000</f>
        <v>1976.3312799999999</v>
      </c>
      <c r="D60" s="29"/>
      <c r="E60" s="29">
        <f>+'[4]BS'!W50/1000</f>
        <v>1976.331</v>
      </c>
    </row>
    <row r="61" spans="1:5" ht="13.5" hidden="1">
      <c r="A61" s="20"/>
      <c r="B61" s="20" t="s">
        <v>46</v>
      </c>
      <c r="C61" s="29">
        <f>+'[4]BS'!U51/1000</f>
        <v>0</v>
      </c>
      <c r="D61" s="29"/>
      <c r="E61" s="29">
        <f>+'[4]BS'!W51/1000</f>
        <v>0</v>
      </c>
    </row>
    <row r="62" spans="1:5" ht="13.5">
      <c r="A62" s="20"/>
      <c r="B62" s="20" t="s">
        <v>47</v>
      </c>
      <c r="C62" s="29">
        <f>+'[4]BS'!U52/1000</f>
        <v>1066.29494</v>
      </c>
      <c r="D62" s="29"/>
      <c r="E62" s="29">
        <f>+'[4]BS'!W52/1000</f>
        <v>711.381</v>
      </c>
    </row>
    <row r="63" spans="1:7" ht="13.5">
      <c r="A63" s="20"/>
      <c r="B63" s="20" t="s">
        <v>48</v>
      </c>
      <c r="C63" s="34">
        <f>+'[4]BS'!U53/1000</f>
        <v>62371.423419865554</v>
      </c>
      <c r="D63" s="29"/>
      <c r="E63" s="34">
        <f>+'[4]BS'!W53/1000</f>
        <v>59647.643</v>
      </c>
      <c r="G63" s="8">
        <f>+C63-E63-'IS'!F30</f>
        <v>-4097.876882436761</v>
      </c>
    </row>
    <row r="64" spans="1:5" ht="13.5">
      <c r="A64" s="20" t="s">
        <v>49</v>
      </c>
      <c r="B64" s="20"/>
      <c r="C64" s="29">
        <f>SUM(C55:C63)</f>
        <v>182544.51744986555</v>
      </c>
      <c r="D64" s="29"/>
      <c r="E64" s="29">
        <f>SUM(E55:E63)</f>
        <v>179459.2723</v>
      </c>
    </row>
    <row r="65" spans="1:5" ht="4.5" customHeight="1">
      <c r="A65" s="20"/>
      <c r="B65" s="20"/>
      <c r="C65" s="29"/>
      <c r="D65" s="29"/>
      <c r="E65" s="29"/>
    </row>
    <row r="66" spans="1:5" ht="13.5">
      <c r="A66" s="20" t="s">
        <v>50</v>
      </c>
      <c r="B66" s="20"/>
      <c r="C66" s="29">
        <f>+'[4]BS'!U56/1000</f>
        <v>1935.361728201456</v>
      </c>
      <c r="D66" s="29"/>
      <c r="E66" s="29">
        <f>+'[4]BS'!W56/1000</f>
        <v>1784.742</v>
      </c>
    </row>
    <row r="67" spans="1:5" ht="4.5" customHeight="1">
      <c r="A67" s="20"/>
      <c r="B67" s="20"/>
      <c r="C67" s="29"/>
      <c r="D67" s="29"/>
      <c r="E67" s="29"/>
    </row>
    <row r="68" spans="1:5" ht="13.5">
      <c r="A68" s="20" t="s">
        <v>51</v>
      </c>
      <c r="B68" s="20"/>
      <c r="C68" s="29"/>
      <c r="D68" s="29"/>
      <c r="E68" s="29"/>
    </row>
    <row r="69" spans="1:5" ht="13.5" hidden="1">
      <c r="A69" s="20"/>
      <c r="B69" s="20" t="s">
        <v>36</v>
      </c>
      <c r="C69" s="29">
        <f>+'[4]BS'!U59/1000</f>
        <v>0</v>
      </c>
      <c r="D69" s="29"/>
      <c r="E69" s="29">
        <f>+'[4]BS'!W59/1000</f>
        <v>0</v>
      </c>
    </row>
    <row r="70" spans="1:5" ht="13.5">
      <c r="A70" s="20"/>
      <c r="B70" s="20" t="s">
        <v>37</v>
      </c>
      <c r="C70" s="29">
        <f>+'[4]BS'!U60/1000</f>
        <v>532.999855</v>
      </c>
      <c r="D70" s="29"/>
      <c r="E70" s="29">
        <f>+'[4]BS'!W60/1000</f>
        <v>2236.241</v>
      </c>
    </row>
    <row r="71" spans="1:5" ht="13.5">
      <c r="A71" s="20"/>
      <c r="B71" s="20" t="s">
        <v>52</v>
      </c>
      <c r="C71" s="29">
        <f>+'[4]BS'!U61/1000</f>
        <v>5695</v>
      </c>
      <c r="D71" s="29"/>
      <c r="E71" s="29">
        <f>+'[4]BS'!W61/1000</f>
        <v>5427</v>
      </c>
    </row>
    <row r="72" spans="1:5" ht="14.25" thickBot="1">
      <c r="A72" s="20"/>
      <c r="B72" s="20"/>
      <c r="C72" s="33">
        <f>SUM(C64:C71)</f>
        <v>190707.879033067</v>
      </c>
      <c r="D72" s="29"/>
      <c r="E72" s="33">
        <f>SUM(E64:E71)</f>
        <v>188907.25530000002</v>
      </c>
    </row>
    <row r="73" spans="1:5" ht="14.25" thickTop="1">
      <c r="A73" s="20"/>
      <c r="B73" s="20"/>
      <c r="C73" s="29"/>
      <c r="D73" s="29"/>
      <c r="E73" s="29"/>
    </row>
    <row r="74" spans="1:6" s="2" customFormat="1" ht="13.5">
      <c r="A74" s="61"/>
      <c r="B74" s="2" t="s">
        <v>105</v>
      </c>
      <c r="C74" s="62">
        <f>+(C64-C15-C22)/C55</f>
        <v>2.1701848373636468</v>
      </c>
      <c r="D74" s="63"/>
      <c r="E74" s="62">
        <f>+(E64-E15-E22)/E55</f>
        <v>2.1279866702043737</v>
      </c>
      <c r="F74" s="63"/>
    </row>
    <row r="75" ht="12.75">
      <c r="E75" s="23"/>
    </row>
    <row r="76" ht="13.5">
      <c r="A76" s="16" t="s">
        <v>95</v>
      </c>
    </row>
    <row r="77" ht="13.5">
      <c r="A77" s="16" t="s">
        <v>123</v>
      </c>
    </row>
  </sheetData>
  <mergeCells count="5">
    <mergeCell ref="C8:C9"/>
    <mergeCell ref="E8:E9"/>
    <mergeCell ref="K8:M8"/>
    <mergeCell ref="K9:K11"/>
    <mergeCell ref="M9:M11"/>
  </mergeCells>
  <printOptions/>
  <pageMargins left="0.5" right="0.5" top="1.5" bottom="0.5" header="0.25" footer="0.2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workbookViewId="0" topLeftCell="A1">
      <pane xSplit="3" ySplit="12" topLeftCell="D43" activePane="bottomRight" state="frozen"/>
      <selection pane="topLeft" activeCell="A2" sqref="A2"/>
      <selection pane="topRight" activeCell="D2" sqref="D2"/>
      <selection pane="bottomLeft" activeCell="A13" sqref="A13"/>
      <selection pane="bottomRight" activeCell="C51" sqref="C51"/>
    </sheetView>
  </sheetViews>
  <sheetFormatPr defaultColWidth="9.140625" defaultRowHeight="12.75"/>
  <cols>
    <col min="1" max="2" width="3.140625" style="1" customWidth="1"/>
    <col min="3" max="3" width="58.7109375" style="1" customWidth="1"/>
    <col min="4" max="4" width="15.7109375" style="23" customWidth="1"/>
    <col min="5" max="5" width="1.421875" style="23" customWidth="1"/>
    <col min="6" max="6" width="13.421875" style="24" hidden="1" customWidth="1"/>
    <col min="7" max="7" width="0.71875" style="1" hidden="1" customWidth="1"/>
    <col min="8" max="8" width="15.7109375" style="8" customWidth="1"/>
    <col min="9" max="9" width="0.71875" style="1" customWidth="1"/>
    <col min="10" max="10" width="9.140625" style="1" customWidth="1"/>
    <col min="11" max="11" width="0.71875" style="1" customWidth="1"/>
    <col min="12" max="12" width="9.140625" style="1" hidden="1" customWidth="1"/>
    <col min="13" max="13" width="0.71875" style="1" hidden="1" customWidth="1"/>
    <col min="14" max="14" width="9.140625" style="1" hidden="1" customWidth="1"/>
    <col min="15" max="15" width="0.71875" style="1" hidden="1" customWidth="1"/>
    <col min="16" max="16384" width="7.8515625" style="1" customWidth="1"/>
  </cols>
  <sheetData>
    <row r="1" spans="1:3" ht="15.75" hidden="1">
      <c r="A1" s="3" t="s">
        <v>0</v>
      </c>
      <c r="B1" s="3"/>
      <c r="C1" s="3"/>
    </row>
    <row r="2" spans="1:3" ht="15.75">
      <c r="A2" s="3" t="s">
        <v>155</v>
      </c>
      <c r="B2" s="3"/>
      <c r="C2" s="3"/>
    </row>
    <row r="3" spans="1:3" ht="15.75">
      <c r="A3" s="3" t="s">
        <v>143</v>
      </c>
      <c r="B3" s="3"/>
      <c r="C3" s="3"/>
    </row>
    <row r="4" spans="1:3" ht="15.75">
      <c r="A4" s="3" t="s">
        <v>102</v>
      </c>
      <c r="B4" s="3"/>
      <c r="C4" s="3"/>
    </row>
    <row r="5" ht="1.5" customHeight="1"/>
    <row r="6" spans="1:3" ht="13.5">
      <c r="A6" s="4" t="s">
        <v>146</v>
      </c>
      <c r="B6" s="4"/>
      <c r="C6" s="4"/>
    </row>
    <row r="7" ht="1.5" customHeight="1"/>
    <row r="8" spans="4:6" ht="12.75" customHeight="1">
      <c r="D8" s="25"/>
      <c r="F8" s="25" t="s">
        <v>113</v>
      </c>
    </row>
    <row r="9" spans="4:8" ht="12.75" customHeight="1">
      <c r="D9" s="25" t="s">
        <v>144</v>
      </c>
      <c r="F9" s="25"/>
      <c r="H9" s="25" t="s">
        <v>109</v>
      </c>
    </row>
    <row r="10" spans="4:14" ht="12.75" customHeight="1">
      <c r="D10" s="25" t="s">
        <v>18</v>
      </c>
      <c r="E10" s="40"/>
      <c r="F10" s="25" t="s">
        <v>18</v>
      </c>
      <c r="H10" s="25" t="s">
        <v>18</v>
      </c>
      <c r="L10" s="9"/>
      <c r="N10" s="5"/>
    </row>
    <row r="11" spans="5:12" ht="4.5" customHeight="1">
      <c r="E11" s="41"/>
      <c r="F11" s="23"/>
      <c r="H11" s="23"/>
      <c r="L11" s="8"/>
    </row>
    <row r="12" spans="1:14" ht="13.5">
      <c r="A12" s="2" t="s">
        <v>56</v>
      </c>
      <c r="D12" s="1"/>
      <c r="E12" s="29"/>
      <c r="F12" s="1"/>
      <c r="H12" s="1"/>
      <c r="L12" s="8">
        <f>+'[1]FPI-CONSOL'!$S$12/1000</f>
        <v>74956.54578822663</v>
      </c>
      <c r="N12" s="8">
        <f>+'[3]2nd QUARTER'!$U$19</f>
        <v>83080.58119369253</v>
      </c>
    </row>
    <row r="13" spans="2:14" ht="13.5">
      <c r="B13" s="1" t="s">
        <v>10</v>
      </c>
      <c r="D13" s="8">
        <f>+'[4]CF STATEMENT'!D8/1000</f>
        <v>8346.827550939228</v>
      </c>
      <c r="E13" s="29"/>
      <c r="F13" s="8">
        <f>9457531/1000</f>
        <v>9457.531</v>
      </c>
      <c r="H13" s="8">
        <v>3957</v>
      </c>
      <c r="L13" s="8"/>
      <c r="N13" s="8"/>
    </row>
    <row r="14" spans="4:14" ht="4.5" customHeight="1">
      <c r="D14" s="8"/>
      <c r="E14" s="29"/>
      <c r="F14" s="8"/>
      <c r="L14" s="11">
        <f>+'[1]FPI-CONSOL'!$S$25/1000</f>
        <v>-63563.24743743165</v>
      </c>
      <c r="N14" s="11">
        <f>+'[2]FPI-CONSOL'!$Q$25/1000-451-407-8+3</f>
        <v>-75187.85344637326</v>
      </c>
    </row>
    <row r="15" spans="2:14" ht="13.5">
      <c r="B15" s="1" t="s">
        <v>57</v>
      </c>
      <c r="D15" s="8"/>
      <c r="E15" s="29"/>
      <c r="F15" s="8"/>
      <c r="L15" s="8">
        <f>SUM(L12:L14)</f>
        <v>11393.298350794983</v>
      </c>
      <c r="N15" s="8">
        <f>SUM(N12:N14)</f>
        <v>7892.727747319266</v>
      </c>
    </row>
    <row r="16" spans="3:14" ht="13.5">
      <c r="C16" s="1" t="s">
        <v>58</v>
      </c>
      <c r="D16" s="8">
        <f>+'[4]CF STATEMENT'!D11/1000</f>
        <v>8562.6142028</v>
      </c>
      <c r="E16" s="29"/>
      <c r="F16" s="8">
        <f>9515385/1000</f>
        <v>9515.385</v>
      </c>
      <c r="H16" s="8">
        <v>8905</v>
      </c>
      <c r="L16" s="8">
        <f>+'[1]FPI-CONSOL'!$S$51/1000</f>
        <v>649.4105477375986</v>
      </c>
      <c r="N16" s="8">
        <f>+'[2]FPI-CONSOL'!$Q$51/1000</f>
        <v>533.7373825712117</v>
      </c>
    </row>
    <row r="17" spans="3:14" ht="13.5">
      <c r="C17" s="1" t="s">
        <v>59</v>
      </c>
      <c r="D17" s="8">
        <f>+'[4]CF STATEMENT'!D12/1000</f>
        <v>11.723659999999988</v>
      </c>
      <c r="E17" s="29"/>
      <c r="F17" s="8">
        <v>9.252</v>
      </c>
      <c r="H17" s="8">
        <v>287</v>
      </c>
      <c r="L17" s="8">
        <f>-'[1]FPI-CONSOL'!S31/1000</f>
        <v>-2606.155532849856</v>
      </c>
      <c r="N17" s="8">
        <f>-'[2]FPI-CONSOL'!$Q$31/1000</f>
        <v>-1828.0669884627164</v>
      </c>
    </row>
    <row r="18" spans="3:14" ht="13.5">
      <c r="C18" s="1" t="s">
        <v>136</v>
      </c>
      <c r="D18" s="8">
        <f>+'[4]CF STATEMENT'!D13/1000</f>
        <v>-8.902269999999989</v>
      </c>
      <c r="E18" s="29"/>
      <c r="F18" s="8">
        <f>-306063/1000</f>
        <v>-306.063</v>
      </c>
      <c r="H18" s="8">
        <v>-197</v>
      </c>
      <c r="L18" s="8">
        <f>-'[1]FPI-CONSOL'!S32/1000</f>
        <v>-2533.2147092976534</v>
      </c>
      <c r="N18" s="8">
        <f>-'[2]FPI-CONSOL'!$Q$32/1000</f>
        <v>-2241.0832988254274</v>
      </c>
    </row>
    <row r="19" spans="3:14" ht="13.5">
      <c r="C19" s="1" t="s">
        <v>148</v>
      </c>
      <c r="D19" s="8">
        <v>0</v>
      </c>
      <c r="E19" s="29"/>
      <c r="F19" s="8"/>
      <c r="H19" s="8">
        <v>517</v>
      </c>
      <c r="L19" s="8"/>
      <c r="N19" s="8"/>
    </row>
    <row r="20" spans="3:14" ht="13.5">
      <c r="C20" s="1" t="s">
        <v>60</v>
      </c>
      <c r="D20" s="8">
        <f>+'[4]CF STATEMENT'!D14/1000</f>
        <v>881.8034236258276</v>
      </c>
      <c r="E20" s="29"/>
      <c r="F20" s="8">
        <f>1275519/1000</f>
        <v>1275.519</v>
      </c>
      <c r="H20" s="8">
        <v>699</v>
      </c>
      <c r="L20" s="11">
        <f>-'[1]FPI-CONSOL'!S33/1000</f>
        <v>-1830.2900510547702</v>
      </c>
      <c r="N20" s="11">
        <f>-'[2]FPI-CONSOL'!$Q$33/1000</f>
        <v>-683.3954399999999</v>
      </c>
    </row>
    <row r="21" spans="3:14" ht="13.5">
      <c r="C21" s="1" t="s">
        <v>61</v>
      </c>
      <c r="D21" s="8">
        <f>+'[4]CF STATEMENT'!D15/1000</f>
        <v>-316.79152</v>
      </c>
      <c r="E21" s="29"/>
      <c r="F21" s="8">
        <f>-483488/1000</f>
        <v>-483.488</v>
      </c>
      <c r="H21" s="8">
        <v>-610</v>
      </c>
      <c r="L21" s="8">
        <f>SUM(L15:L20)</f>
        <v>5073.048605330301</v>
      </c>
      <c r="N21" s="8">
        <f>SUM(N15:N20)</f>
        <v>3673.919402602333</v>
      </c>
    </row>
    <row r="22" spans="3:14" ht="13.5">
      <c r="C22" s="1" t="s">
        <v>161</v>
      </c>
      <c r="D22" s="8">
        <f>+'[4]CF STATEMENT'!$D$16/1000</f>
        <v>-1197.6298000000002</v>
      </c>
      <c r="E22" s="29"/>
      <c r="F22" s="8"/>
      <c r="H22" s="8">
        <v>0</v>
      </c>
      <c r="L22" s="8"/>
      <c r="N22" s="8"/>
    </row>
    <row r="23" spans="3:14" ht="13.5">
      <c r="C23" s="1" t="s">
        <v>147</v>
      </c>
      <c r="D23" s="8">
        <v>0</v>
      </c>
      <c r="E23" s="29"/>
      <c r="F23" s="8">
        <v>9</v>
      </c>
      <c r="H23" s="8">
        <v>-9</v>
      </c>
      <c r="L23" s="8">
        <f>-'[1]FPI-CONSOL'!$S$34/1000</f>
        <v>-195.84356984492183</v>
      </c>
      <c r="N23" s="8">
        <f>-383-3</f>
        <v>-386</v>
      </c>
    </row>
    <row r="24" spans="3:14" ht="13.5">
      <c r="C24" s="1" t="s">
        <v>62</v>
      </c>
      <c r="D24" s="8"/>
      <c r="E24" s="29"/>
      <c r="F24" s="8"/>
      <c r="L24" s="11">
        <v>0</v>
      </c>
      <c r="N24" s="11">
        <v>0</v>
      </c>
    </row>
    <row r="25" spans="3:14" ht="13.5">
      <c r="C25" s="35" t="s">
        <v>63</v>
      </c>
      <c r="D25" s="8">
        <f>+'[4]CF STATEMENT'!D19/1000</f>
        <v>7.4109628204818</v>
      </c>
      <c r="E25" s="29"/>
      <c r="F25" s="8">
        <f>2361620/1000</f>
        <v>2361.62</v>
      </c>
      <c r="H25" s="8">
        <v>2362</v>
      </c>
      <c r="L25" s="8">
        <f>SUM(L21:L24)</f>
        <v>4877.205035485379</v>
      </c>
      <c r="N25" s="8">
        <f>SUM(N21:N24)</f>
        <v>3287.919402602333</v>
      </c>
    </row>
    <row r="26" spans="3:14" ht="13.5">
      <c r="C26" s="35" t="s">
        <v>64</v>
      </c>
      <c r="D26" s="18">
        <f>+'[4]CF STATEMENT'!D20/1000</f>
        <v>164.57808000000003</v>
      </c>
      <c r="E26" s="29"/>
      <c r="F26" s="18">
        <f>87364/1000</f>
        <v>87.364</v>
      </c>
      <c r="H26" s="18">
        <v>160</v>
      </c>
      <c r="L26" s="11">
        <f>+'[1]FPI-CONSOL'!$S$57/1000</f>
        <v>-1800</v>
      </c>
      <c r="N26" s="11">
        <f>+'[2]FPI-CONSOL'!$Q$57/1000</f>
        <v>-860</v>
      </c>
    </row>
    <row r="27" spans="3:14" ht="13.5">
      <c r="C27" s="1" t="s">
        <v>9</v>
      </c>
      <c r="D27" s="8">
        <f>+'[4]CF STATEMENT'!D22/1000</f>
        <v>-3105.344302427915</v>
      </c>
      <c r="E27" s="29"/>
      <c r="F27" s="8">
        <f>459043/1000</f>
        <v>459.043</v>
      </c>
      <c r="H27" s="8">
        <v>0</v>
      </c>
      <c r="L27" s="8">
        <f>SUM(L25:L26)</f>
        <v>3077.205035485379</v>
      </c>
      <c r="N27" s="8">
        <f>SUM(N25:N26)</f>
        <v>2427.919402602333</v>
      </c>
    </row>
    <row r="28" spans="3:14" ht="13.5">
      <c r="C28" s="1" t="s">
        <v>65</v>
      </c>
      <c r="D28" s="8">
        <f>+'[4]CF STATEMENT'!D23/1000</f>
        <v>8.175240312730079</v>
      </c>
      <c r="E28" s="29"/>
      <c r="F28" s="8">
        <f>261122/1000</f>
        <v>261.122</v>
      </c>
      <c r="H28" s="8">
        <v>17</v>
      </c>
      <c r="L28" s="8"/>
      <c r="N28" s="8"/>
    </row>
    <row r="29" spans="3:14" ht="13.5">
      <c r="C29" s="1" t="s">
        <v>99</v>
      </c>
      <c r="D29" s="11">
        <f>+'[4]CF STATEMENT'!D24/1000</f>
        <v>-698.4424799999999</v>
      </c>
      <c r="E29" s="29"/>
      <c r="F29" s="11">
        <v>-2.618</v>
      </c>
      <c r="H29" s="11">
        <v>-63</v>
      </c>
      <c r="L29" s="8">
        <f>+'[1]FPI-CONSOL'!$S$65/1000</f>
        <v>120.78412834499997</v>
      </c>
      <c r="N29" s="8">
        <f>639-232</f>
        <v>407</v>
      </c>
    </row>
    <row r="30" spans="1:14" s="2" customFormat="1" ht="4.5" customHeight="1" thickBot="1">
      <c r="A30" s="1"/>
      <c r="B30" s="1"/>
      <c r="C30" s="1"/>
      <c r="D30" s="18"/>
      <c r="E30" s="29"/>
      <c r="F30" s="18"/>
      <c r="G30" s="1"/>
      <c r="H30" s="18"/>
      <c r="I30" s="1"/>
      <c r="J30" s="1"/>
      <c r="K30" s="1"/>
      <c r="L30" s="14">
        <f>SUM(L27:L29)</f>
        <v>3197.989163830379</v>
      </c>
      <c r="N30" s="14">
        <f>SUM(N27:N29)</f>
        <v>2834.919402602333</v>
      </c>
    </row>
    <row r="31" spans="2:8" ht="14.25" thickTop="1">
      <c r="B31" s="1" t="s">
        <v>131</v>
      </c>
      <c r="D31" s="18">
        <f>SUM(D13:D29)</f>
        <v>12656.022748070358</v>
      </c>
      <c r="E31" s="29"/>
      <c r="F31" s="18">
        <f>SUM(F13:F29)</f>
        <v>22643.667000000005</v>
      </c>
      <c r="H31" s="18">
        <f>SUM(H13:H29)</f>
        <v>16025</v>
      </c>
    </row>
    <row r="32" spans="4:6" ht="4.5" customHeight="1">
      <c r="D32" s="8"/>
      <c r="E32" s="29"/>
      <c r="F32" s="8"/>
    </row>
    <row r="33" spans="3:11" ht="13.5">
      <c r="C33" s="1" t="s">
        <v>127</v>
      </c>
      <c r="D33" s="8">
        <f>+'[4]CF STATEMENT'!D28/1000</f>
        <v>-2398.399076266094</v>
      </c>
      <c r="E33" s="29"/>
      <c r="F33" s="8">
        <f>7314020/1000</f>
        <v>7314.02</v>
      </c>
      <c r="H33" s="8">
        <v>2314</v>
      </c>
      <c r="I33" s="17"/>
      <c r="J33" s="19"/>
      <c r="K33" s="17"/>
    </row>
    <row r="34" spans="3:11" ht="13.5">
      <c r="C34" s="1" t="s">
        <v>137</v>
      </c>
      <c r="D34" s="8">
        <f>+'[4]CF STATEMENT'!D29/1000</f>
        <v>-15799.966320614993</v>
      </c>
      <c r="E34" s="29"/>
      <c r="F34" s="8">
        <f>16970484/1000</f>
        <v>16970.484</v>
      </c>
      <c r="H34" s="8">
        <v>8335</v>
      </c>
      <c r="I34" s="17"/>
      <c r="J34" s="18"/>
      <c r="K34" s="17"/>
    </row>
    <row r="35" spans="3:11" ht="13.5">
      <c r="C35" s="1" t="s">
        <v>138</v>
      </c>
      <c r="D35" s="8">
        <f>+'[4]CF STATEMENT'!D30/1000</f>
        <v>-2751.712005</v>
      </c>
      <c r="E35" s="29"/>
      <c r="F35" s="8">
        <f>4820186/1000</f>
        <v>4820.186</v>
      </c>
      <c r="H35" s="8">
        <v>1486</v>
      </c>
      <c r="I35" s="17"/>
      <c r="J35" s="18"/>
      <c r="K35" s="17"/>
    </row>
    <row r="36" spans="3:11" ht="13.5">
      <c r="C36" s="1" t="s">
        <v>139</v>
      </c>
      <c r="D36" s="8">
        <f>+'[4]CF STATEMENT'!D31/1000</f>
        <v>15519.294355615</v>
      </c>
      <c r="E36" s="29"/>
      <c r="F36" s="8">
        <f>-7024863/1000</f>
        <v>-7024.863</v>
      </c>
      <c r="H36" s="8">
        <v>-8008</v>
      </c>
      <c r="I36" s="17"/>
      <c r="J36" s="18"/>
      <c r="K36" s="17"/>
    </row>
    <row r="37" spans="3:11" ht="13.5">
      <c r="C37" s="1" t="s">
        <v>158</v>
      </c>
      <c r="D37" s="11">
        <f>+'[4]CF STATEMENT'!D32/1000</f>
        <v>-1898.4849350000009</v>
      </c>
      <c r="E37" s="29"/>
      <c r="F37" s="11">
        <f>-2680831/1000</f>
        <v>-2680.831</v>
      </c>
      <c r="H37" s="11">
        <v>1679</v>
      </c>
      <c r="I37" s="17"/>
      <c r="J37" s="18"/>
      <c r="K37" s="17"/>
    </row>
    <row r="38" spans="4:11" ht="4.5" customHeight="1">
      <c r="D38" s="8"/>
      <c r="E38" s="29"/>
      <c r="F38" s="8"/>
      <c r="I38" s="17"/>
      <c r="J38" s="18"/>
      <c r="K38" s="17"/>
    </row>
    <row r="39" spans="2:11" ht="13.5">
      <c r="B39" s="1" t="s">
        <v>159</v>
      </c>
      <c r="D39" s="8">
        <f>SUM(D31:D37)</f>
        <v>5326.754766804272</v>
      </c>
      <c r="E39" s="29"/>
      <c r="F39" s="8">
        <f>SUM(F31:F37)</f>
        <v>42042.66300000001</v>
      </c>
      <c r="H39" s="8">
        <f>SUM(H31:H37)</f>
        <v>21831</v>
      </c>
      <c r="I39" s="17"/>
      <c r="J39" s="17"/>
      <c r="K39" s="17"/>
    </row>
    <row r="40" spans="4:11" ht="4.5" customHeight="1">
      <c r="D40" s="8"/>
      <c r="E40" s="29"/>
      <c r="F40" s="8"/>
      <c r="I40" s="17"/>
      <c r="J40" s="17"/>
      <c r="K40" s="17"/>
    </row>
    <row r="41" spans="3:11" ht="13.5">
      <c r="C41" s="1" t="s">
        <v>66</v>
      </c>
      <c r="D41" s="8">
        <f>+'[4]CF STATEMENT'!D36/1000</f>
        <v>-675.9862536258275</v>
      </c>
      <c r="E41" s="29"/>
      <c r="F41" s="8">
        <f>-719766/1000</f>
        <v>-719.766</v>
      </c>
      <c r="H41" s="8">
        <v>-294</v>
      </c>
      <c r="I41" s="17"/>
      <c r="J41" s="17"/>
      <c r="K41" s="17"/>
    </row>
    <row r="42" spans="3:11" ht="13.5">
      <c r="C42" s="1" t="s">
        <v>67</v>
      </c>
      <c r="D42" s="11">
        <f>+'[4]CF STATEMENT'!D37/1000</f>
        <v>-1807.11594</v>
      </c>
      <c r="E42" s="29"/>
      <c r="F42" s="11">
        <f>-1848310/1000</f>
        <v>-1848.31</v>
      </c>
      <c r="H42" s="11">
        <v>-1240</v>
      </c>
      <c r="I42" s="17"/>
      <c r="J42" s="17"/>
      <c r="K42" s="17"/>
    </row>
    <row r="43" spans="4:11" ht="4.5" customHeight="1">
      <c r="D43" s="8"/>
      <c r="E43" s="29"/>
      <c r="F43" s="8"/>
      <c r="I43" s="17"/>
      <c r="J43" s="17"/>
      <c r="K43" s="17"/>
    </row>
    <row r="44" spans="2:11" ht="13.5">
      <c r="B44" s="1" t="s">
        <v>160</v>
      </c>
      <c r="D44" s="8">
        <f>SUM(D39:D42)</f>
        <v>2843.652573178444</v>
      </c>
      <c r="E44" s="29"/>
      <c r="F44" s="8">
        <f>SUM(F39:F42)</f>
        <v>39474.58700000001</v>
      </c>
      <c r="H44" s="8">
        <f>SUM(H39:H42)</f>
        <v>20297</v>
      </c>
      <c r="I44" s="17"/>
      <c r="J44" s="17"/>
      <c r="K44" s="17"/>
    </row>
    <row r="45" spans="4:11" ht="4.5" customHeight="1">
      <c r="D45" s="8"/>
      <c r="E45" s="29"/>
      <c r="F45" s="8"/>
      <c r="I45" s="17"/>
      <c r="J45" s="17"/>
      <c r="K45" s="17"/>
    </row>
    <row r="46" spans="1:11" ht="13.5">
      <c r="A46" s="2" t="s">
        <v>68</v>
      </c>
      <c r="D46" s="8"/>
      <c r="E46" s="29"/>
      <c r="F46" s="8"/>
      <c r="I46" s="17"/>
      <c r="J46" s="17"/>
      <c r="K46" s="17"/>
    </row>
    <row r="47" spans="1:11" ht="13.5">
      <c r="A47" s="2"/>
      <c r="C47" s="1" t="s">
        <v>149</v>
      </c>
      <c r="D47" s="8">
        <v>0</v>
      </c>
      <c r="E47" s="29"/>
      <c r="F47" s="8">
        <f>-6170582/1000</f>
        <v>-6170.582</v>
      </c>
      <c r="H47" s="8">
        <v>-7861</v>
      </c>
      <c r="I47" s="17"/>
      <c r="J47" s="17"/>
      <c r="K47" s="17"/>
    </row>
    <row r="48" spans="3:11" ht="13.5" hidden="1">
      <c r="C48" s="1" t="s">
        <v>114</v>
      </c>
      <c r="D48" s="8">
        <f>+'[4]CF STATEMENT'!D42/1000</f>
        <v>0</v>
      </c>
      <c r="E48" s="29"/>
      <c r="F48" s="8">
        <v>0</v>
      </c>
      <c r="H48" s="8">
        <f>+'[4]CF STATEMENT'!H42/1000</f>
        <v>0</v>
      </c>
      <c r="I48" s="17"/>
      <c r="J48" s="17"/>
      <c r="K48" s="17"/>
    </row>
    <row r="49" spans="3:11" ht="13.5" hidden="1">
      <c r="C49" s="1" t="s">
        <v>69</v>
      </c>
      <c r="D49" s="8">
        <f>+'[4]CF STATEMENT'!D43/1000</f>
        <v>0</v>
      </c>
      <c r="E49" s="29"/>
      <c r="F49" s="8">
        <f>-460000/1000</f>
        <v>-460</v>
      </c>
      <c r="H49" s="8">
        <f>+'[4]CF STATEMENT'!H43/1000</f>
        <v>0</v>
      </c>
      <c r="I49" s="17"/>
      <c r="J49" s="17"/>
      <c r="K49" s="17"/>
    </row>
    <row r="50" spans="3:11" ht="13.5">
      <c r="C50" s="1" t="s">
        <v>70</v>
      </c>
      <c r="D50" s="8">
        <f>+'[4]CF STATEMENT'!D45/1000</f>
        <v>316.79152</v>
      </c>
      <c r="E50" s="29"/>
      <c r="F50" s="8">
        <f>483488/1000</f>
        <v>483.488</v>
      </c>
      <c r="H50" s="8">
        <v>610</v>
      </c>
      <c r="I50" s="17"/>
      <c r="J50" s="17"/>
      <c r="K50" s="17"/>
    </row>
    <row r="51" spans="3:11" ht="13.5">
      <c r="C51" s="1" t="s">
        <v>71</v>
      </c>
      <c r="D51" s="8">
        <f>+'[4]CF STATEMENT'!D46/1000</f>
        <v>-5788.879933000001</v>
      </c>
      <c r="E51" s="29"/>
      <c r="F51" s="8">
        <f>-1894424/1000</f>
        <v>-1894.424</v>
      </c>
      <c r="H51" s="8">
        <v>-4128</v>
      </c>
      <c r="I51" s="17"/>
      <c r="J51" s="17"/>
      <c r="K51" s="17"/>
    </row>
    <row r="52" spans="3:11" ht="13.5">
      <c r="C52" s="23" t="s">
        <v>162</v>
      </c>
      <c r="D52" s="8">
        <f>+'[4]CF STATEMENT'!D47/1000</f>
        <v>1197.6298000000002</v>
      </c>
      <c r="E52" s="29"/>
      <c r="F52" s="8"/>
      <c r="H52" s="8">
        <v>0</v>
      </c>
      <c r="I52" s="17"/>
      <c r="J52" s="17"/>
      <c r="K52" s="17"/>
    </row>
    <row r="53" spans="3:11" ht="13.5">
      <c r="C53" s="1" t="s">
        <v>72</v>
      </c>
      <c r="D53" s="8">
        <v>0</v>
      </c>
      <c r="E53" s="29"/>
      <c r="F53" s="8">
        <f>-390225/1000</f>
        <v>-390.225</v>
      </c>
      <c r="H53" s="8">
        <v>-197</v>
      </c>
      <c r="I53" s="17"/>
      <c r="J53" s="17"/>
      <c r="K53" s="17"/>
    </row>
    <row r="54" spans="3:8" ht="13.5">
      <c r="C54" s="1" t="s">
        <v>73</v>
      </c>
      <c r="D54" s="8">
        <f>+'[4]CF STATEMENT'!D48/1000</f>
        <v>-6563.259700000001</v>
      </c>
      <c r="E54" s="29"/>
      <c r="F54" s="8">
        <f>-1440000/1000</f>
        <v>-1440</v>
      </c>
      <c r="H54" s="8">
        <v>-12738</v>
      </c>
    </row>
    <row r="55" spans="3:8" ht="13.5">
      <c r="C55" s="1" t="s">
        <v>74</v>
      </c>
      <c r="D55" s="11">
        <f>+'[4]CF STATEMENT'!D49/1000</f>
        <v>3480.018615000001</v>
      </c>
      <c r="E55" s="29"/>
      <c r="F55" s="11">
        <f>139395/1000</f>
        <v>139.395</v>
      </c>
      <c r="H55" s="11">
        <v>7293</v>
      </c>
    </row>
    <row r="56" spans="4:6" ht="4.5" customHeight="1">
      <c r="D56" s="8"/>
      <c r="E56" s="29"/>
      <c r="F56" s="8"/>
    </row>
    <row r="57" spans="2:8" ht="13.5">
      <c r="B57" s="1" t="s">
        <v>163</v>
      </c>
      <c r="D57" s="8">
        <f>SUM(D47:D56)</f>
        <v>-7357.699698</v>
      </c>
      <c r="E57" s="29"/>
      <c r="F57" s="8">
        <f>SUM(F47:F56)</f>
        <v>-9732.348</v>
      </c>
      <c r="H57" s="8">
        <f>SUM(H47:H56)</f>
        <v>-17021</v>
      </c>
    </row>
    <row r="58" spans="4:6" ht="4.5" customHeight="1">
      <c r="D58" s="8"/>
      <c r="E58" s="29"/>
      <c r="F58" s="8"/>
    </row>
    <row r="59" spans="1:6" ht="13.5">
      <c r="A59" s="2" t="s">
        <v>75</v>
      </c>
      <c r="D59" s="8"/>
      <c r="E59" s="29"/>
      <c r="F59" s="8"/>
    </row>
    <row r="60" spans="3:8" ht="13.5">
      <c r="C60" s="23" t="s">
        <v>130</v>
      </c>
      <c r="D60" s="8">
        <f>+'[4]CF STATEMENT'!D54/1000</f>
        <v>6.550429999992251</v>
      </c>
      <c r="E60" s="29"/>
      <c r="F60" s="8">
        <f>600000/1000</f>
        <v>600</v>
      </c>
      <c r="H60" s="8">
        <f>+'[4]CF STATEMENT'!H54/1000</f>
        <v>0</v>
      </c>
    </row>
    <row r="61" spans="3:8" ht="13.5">
      <c r="C61" s="1" t="s">
        <v>76</v>
      </c>
      <c r="D61" s="8">
        <f>+'[4]CF STATEMENT'!D55/1000</f>
        <v>-205.81717</v>
      </c>
      <c r="E61" s="29"/>
      <c r="F61" s="18">
        <f>-555753/1000</f>
        <v>-555.753</v>
      </c>
      <c r="H61" s="8">
        <v>-405</v>
      </c>
    </row>
    <row r="62" spans="3:8" ht="13.5">
      <c r="C62" s="1" t="s">
        <v>77</v>
      </c>
      <c r="D62" s="8">
        <f>+'[4]CF STATEMENT'!D56/1000</f>
        <v>-5.441699999999996</v>
      </c>
      <c r="E62" s="29"/>
      <c r="F62" s="18">
        <f>-40680/1000</f>
        <v>-40.68</v>
      </c>
      <c r="H62" s="8">
        <v>-114</v>
      </c>
    </row>
    <row r="63" spans="3:8" ht="13.5">
      <c r="C63" s="1" t="s">
        <v>100</v>
      </c>
      <c r="D63" s="8">
        <f>+'[4]CF STATEMENT'!D57/1000</f>
        <v>-3854.882645</v>
      </c>
      <c r="E63" s="29"/>
      <c r="F63" s="18">
        <f>-864169/1000</f>
        <v>-864.169</v>
      </c>
      <c r="H63" s="8">
        <v>-1677</v>
      </c>
    </row>
    <row r="64" spans="3:8" ht="13.5">
      <c r="C64" s="1" t="s">
        <v>101</v>
      </c>
      <c r="D64" s="18">
        <f>+'[4]CF STATEMENT'!D58/1000</f>
        <v>5831.578</v>
      </c>
      <c r="E64" s="29"/>
      <c r="F64" s="18">
        <f>-25185115/1000</f>
        <v>-25185.115</v>
      </c>
      <c r="G64" s="17"/>
      <c r="H64" s="18">
        <v>6106</v>
      </c>
    </row>
    <row r="65" spans="3:8" ht="13.5">
      <c r="C65" s="1" t="s">
        <v>78</v>
      </c>
      <c r="D65" s="11">
        <f>+'[4]CF STATEMENT'!D59/1000</f>
        <v>-4097.876200000001</v>
      </c>
      <c r="E65" s="29"/>
      <c r="F65" s="11">
        <f>-4097626/1000</f>
        <v>-4097.626</v>
      </c>
      <c r="H65" s="11">
        <v>-4098</v>
      </c>
    </row>
    <row r="66" spans="4:6" ht="4.5" customHeight="1">
      <c r="D66" s="8"/>
      <c r="E66" s="29"/>
      <c r="F66" s="8"/>
    </row>
    <row r="67" spans="2:8" ht="13.5">
      <c r="B67" s="1" t="s">
        <v>164</v>
      </c>
      <c r="D67" s="8">
        <f>SUM(D60:D66)</f>
        <v>-2325.889285000008</v>
      </c>
      <c r="E67" s="29"/>
      <c r="F67" s="8">
        <f>SUM(F60:F66)</f>
        <v>-30143.343</v>
      </c>
      <c r="H67" s="8">
        <f>SUM(H60:H66)</f>
        <v>-188</v>
      </c>
    </row>
    <row r="68" spans="4:6" ht="4.5" customHeight="1">
      <c r="D68" s="8"/>
      <c r="E68" s="29"/>
      <c r="F68" s="8"/>
    </row>
    <row r="69" spans="2:8" ht="13.5">
      <c r="B69" s="1" t="s">
        <v>79</v>
      </c>
      <c r="D69" s="11">
        <f>+'[4]CF STATEMENT'!D63/1000</f>
        <v>-76.51494618395122</v>
      </c>
      <c r="E69" s="29"/>
      <c r="F69" s="11">
        <v>2.324</v>
      </c>
      <c r="H69" s="11">
        <v>30</v>
      </c>
    </row>
    <row r="70" spans="4:6" ht="4.5" customHeight="1">
      <c r="D70" s="8"/>
      <c r="E70" s="41"/>
      <c r="F70" s="8"/>
    </row>
    <row r="71" spans="2:8" ht="12.75">
      <c r="B71" s="1" t="s">
        <v>134</v>
      </c>
      <c r="D71" s="8">
        <f>+D44+D57+D67+D69</f>
        <v>-6916.451356005516</v>
      </c>
      <c r="E71" s="41"/>
      <c r="F71" s="8">
        <f>+F44+F57+F67+F69</f>
        <v>-398.77999999999207</v>
      </c>
      <c r="H71" s="8">
        <f>+H44+H57+H67+H69</f>
        <v>3118</v>
      </c>
    </row>
    <row r="72" spans="4:6" ht="4.5" customHeight="1">
      <c r="D72" s="8"/>
      <c r="E72" s="41"/>
      <c r="F72" s="8"/>
    </row>
    <row r="73" spans="2:6" ht="12.75">
      <c r="B73" s="1" t="s">
        <v>103</v>
      </c>
      <c r="D73" s="8"/>
      <c r="E73" s="41"/>
      <c r="F73" s="8"/>
    </row>
    <row r="74" spans="3:8" ht="12.75">
      <c r="C74" s="1" t="s">
        <v>80</v>
      </c>
      <c r="D74" s="36">
        <f>+'[4]CF STATEMENT'!D68/1000</f>
        <v>28063.374</v>
      </c>
      <c r="E74" s="41"/>
      <c r="F74" s="36">
        <f>25267657/1000</f>
        <v>25267.657</v>
      </c>
      <c r="H74" s="36">
        <v>24856</v>
      </c>
    </row>
    <row r="75" spans="3:8" ht="12.75">
      <c r="C75" s="1" t="s">
        <v>81</v>
      </c>
      <c r="D75" s="37">
        <f>+'[4]CF STATEMENT'!D69/1000</f>
        <v>165.55329999999992</v>
      </c>
      <c r="E75" s="41"/>
      <c r="F75" s="37">
        <v>-12.417</v>
      </c>
      <c r="H75" s="37">
        <v>89</v>
      </c>
    </row>
    <row r="76" spans="4:6" ht="4.5" customHeight="1">
      <c r="D76" s="8"/>
      <c r="E76" s="41"/>
      <c r="F76" s="8"/>
    </row>
    <row r="77" spans="4:8" ht="12.75">
      <c r="D77" s="8">
        <f>+D74+D75</f>
        <v>28228.9273</v>
      </c>
      <c r="E77" s="41"/>
      <c r="F77" s="8">
        <f>+F74+F75</f>
        <v>25255.239999999998</v>
      </c>
      <c r="H77" s="8">
        <f>+H74+H75</f>
        <v>24945</v>
      </c>
    </row>
    <row r="78" spans="4:8" ht="4.5" customHeight="1">
      <c r="D78" s="38"/>
      <c r="E78" s="41"/>
      <c r="F78" s="38"/>
      <c r="H78" s="38"/>
    </row>
    <row r="79" spans="2:10" ht="13.5" thickBot="1">
      <c r="B79" s="1" t="s">
        <v>104</v>
      </c>
      <c r="D79" s="39">
        <f>+D71+D77</f>
        <v>21312.475943994483</v>
      </c>
      <c r="E79" s="41"/>
      <c r="F79" s="39">
        <f>+F71+F77</f>
        <v>24856.460000000006</v>
      </c>
      <c r="H79" s="39">
        <f>+H71+H77</f>
        <v>28063</v>
      </c>
      <c r="J79" s="13">
        <f>+D79-'BS'!C36-'BS'!C37</f>
        <v>0.0005519944834304624</v>
      </c>
    </row>
    <row r="80" spans="4:8" ht="13.5" thickTop="1">
      <c r="D80" s="18"/>
      <c r="E80" s="41"/>
      <c r="F80" s="18"/>
      <c r="H80" s="18"/>
    </row>
    <row r="81" spans="1:8" ht="12.75">
      <c r="A81" s="64"/>
      <c r="B81" s="64"/>
      <c r="C81" s="64"/>
      <c r="D81" s="64"/>
      <c r="E81" s="64"/>
      <c r="F81" s="64"/>
      <c r="G81" s="65"/>
      <c r="H81" s="64"/>
    </row>
    <row r="82" spans="1:8" ht="12.75">
      <c r="A82" s="72"/>
      <c r="B82" s="64"/>
      <c r="C82" s="64"/>
      <c r="D82" s="64"/>
      <c r="E82" s="64"/>
      <c r="F82" s="64"/>
      <c r="G82" s="65"/>
      <c r="H82" s="64"/>
    </row>
    <row r="83" spans="1:8" ht="12.75">
      <c r="A83" s="64"/>
      <c r="B83" s="64"/>
      <c r="C83" s="64"/>
      <c r="D83" s="66"/>
      <c r="E83" s="64"/>
      <c r="F83" s="67"/>
      <c r="G83" s="65"/>
      <c r="H83" s="64"/>
    </row>
    <row r="84" spans="1:8" ht="12.75">
      <c r="A84" s="64"/>
      <c r="B84" s="64"/>
      <c r="C84" s="64"/>
      <c r="D84" s="66"/>
      <c r="E84" s="64"/>
      <c r="F84" s="67"/>
      <c r="G84" s="65"/>
      <c r="H84" s="64"/>
    </row>
    <row r="85" spans="1:6" ht="13.5">
      <c r="A85" s="16" t="s">
        <v>97</v>
      </c>
      <c r="E85" s="41"/>
      <c r="F85" s="42"/>
    </row>
    <row r="86" spans="1:6" ht="13.5">
      <c r="A86" s="16" t="s">
        <v>123</v>
      </c>
      <c r="E86" s="41"/>
      <c r="F86" s="42"/>
    </row>
    <row r="87" spans="5:6" ht="12.75">
      <c r="E87" s="41"/>
      <c r="F87" s="42"/>
    </row>
    <row r="88" spans="4:8" ht="12.75">
      <c r="D88" s="75">
        <f>+D79-'BS'!C36-'BS'!C37</f>
        <v>0.0005519944834304624</v>
      </c>
      <c r="E88" s="41"/>
      <c r="F88" s="42"/>
      <c r="H88" s="75"/>
    </row>
    <row r="89" spans="5:6" ht="12.75">
      <c r="E89" s="41"/>
      <c r="F89" s="42"/>
    </row>
    <row r="90" spans="5:6" ht="12.75">
      <c r="E90" s="41"/>
      <c r="F90" s="42"/>
    </row>
    <row r="91" spans="5:6" ht="12.75">
      <c r="E91" s="41"/>
      <c r="F91" s="42"/>
    </row>
    <row r="92" spans="5:6" ht="12.75">
      <c r="E92" s="41"/>
      <c r="F92" s="42"/>
    </row>
  </sheetData>
  <printOptions/>
  <pageMargins left="0.5" right="0.5" top="1.25" bottom="0.25" header="0.25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workbookViewId="0" topLeftCell="A2">
      <selection activeCell="A19" sqref="A19"/>
    </sheetView>
  </sheetViews>
  <sheetFormatPr defaultColWidth="9.140625" defaultRowHeight="12.75"/>
  <cols>
    <col min="1" max="1" width="45.7109375" style="43" customWidth="1"/>
    <col min="2" max="8" width="9.8515625" style="43" customWidth="1"/>
    <col min="9" max="16384" width="7.8515625" style="43" customWidth="1"/>
  </cols>
  <sheetData>
    <row r="1" ht="15.75" hidden="1">
      <c r="A1" s="3" t="s">
        <v>0</v>
      </c>
    </row>
    <row r="2" ht="15.75">
      <c r="A2" s="3" t="s">
        <v>156</v>
      </c>
    </row>
    <row r="3" ht="15.75">
      <c r="A3" s="3" t="s">
        <v>102</v>
      </c>
    </row>
    <row r="4" ht="12.75">
      <c r="A4" s="1"/>
    </row>
    <row r="5" ht="13.5">
      <c r="A5" s="4" t="s">
        <v>150</v>
      </c>
    </row>
    <row r="6" ht="13.5">
      <c r="A6" s="4"/>
    </row>
    <row r="7" ht="13.5">
      <c r="A7" s="4"/>
    </row>
    <row r="8" spans="2:8" s="1" customFormat="1" ht="12.75">
      <c r="B8" s="90" t="s">
        <v>82</v>
      </c>
      <c r="C8" s="90" t="s">
        <v>83</v>
      </c>
      <c r="D8" s="90" t="s">
        <v>84</v>
      </c>
      <c r="E8" s="90" t="s">
        <v>85</v>
      </c>
      <c r="F8" s="90" t="s">
        <v>86</v>
      </c>
      <c r="G8" s="90" t="s">
        <v>87</v>
      </c>
      <c r="H8" s="90" t="s">
        <v>88</v>
      </c>
    </row>
    <row r="9" spans="2:8" s="1" customFormat="1" ht="12.75">
      <c r="B9" s="91"/>
      <c r="C9" s="90"/>
      <c r="D9" s="90"/>
      <c r="E9" s="90"/>
      <c r="F9" s="90"/>
      <c r="G9" s="90"/>
      <c r="H9" s="90"/>
    </row>
    <row r="10" spans="2:8" s="1" customFormat="1" ht="12.75">
      <c r="B10" s="91"/>
      <c r="C10" s="90"/>
      <c r="D10" s="90"/>
      <c r="E10" s="90"/>
      <c r="F10" s="90"/>
      <c r="G10" s="90"/>
      <c r="H10" s="90"/>
    </row>
    <row r="11" spans="2:8" s="1" customFormat="1" ht="12.75">
      <c r="B11" s="25" t="s">
        <v>18</v>
      </c>
      <c r="C11" s="25" t="s">
        <v>18</v>
      </c>
      <c r="D11" s="25" t="s">
        <v>18</v>
      </c>
      <c r="E11" s="25" t="s">
        <v>18</v>
      </c>
      <c r="F11" s="25" t="s">
        <v>18</v>
      </c>
      <c r="G11" s="25" t="s">
        <v>18</v>
      </c>
      <c r="H11" s="25" t="s">
        <v>18</v>
      </c>
    </row>
    <row r="12" spans="2:8" s="1" customFormat="1" ht="12.75">
      <c r="B12" s="44"/>
      <c r="C12" s="45"/>
      <c r="D12" s="45"/>
      <c r="E12" s="45"/>
      <c r="F12" s="45"/>
      <c r="G12" s="45"/>
      <c r="H12" s="45"/>
    </row>
    <row r="13" spans="1:8" s="1" customFormat="1" ht="12.75">
      <c r="A13" s="1" t="s">
        <v>110</v>
      </c>
      <c r="B13" s="8">
        <f>81952524/1000</f>
        <v>81952.524</v>
      </c>
      <c r="C13" s="8">
        <f>33912236/1000</f>
        <v>33912.236</v>
      </c>
      <c r="D13" s="8">
        <f>1259157/1000</f>
        <v>1259.157</v>
      </c>
      <c r="E13" s="8">
        <f>1976331/1000</f>
        <v>1976.331</v>
      </c>
      <c r="F13" s="8">
        <f>711381/1000</f>
        <v>711.381</v>
      </c>
      <c r="G13" s="8">
        <f>59647643/1000</f>
        <v>59647.643</v>
      </c>
      <c r="H13" s="8">
        <f>SUM(B13:G13)</f>
        <v>179459.272</v>
      </c>
    </row>
    <row r="14" spans="2:8" s="1" customFormat="1" ht="12.75">
      <c r="B14" s="8"/>
      <c r="C14" s="8"/>
      <c r="D14" s="8"/>
      <c r="E14" s="8"/>
      <c r="F14" s="8"/>
      <c r="G14" s="8"/>
      <c r="H14" s="8"/>
    </row>
    <row r="15" spans="1:8" s="1" customFormat="1" ht="12.75">
      <c r="A15" s="1" t="s">
        <v>126</v>
      </c>
      <c r="B15" s="8">
        <f>+'[4]CF'!$U$96/1000</f>
        <v>5.000099999994039</v>
      </c>
      <c r="C15" s="8">
        <f>+'[4]CF'!$U$99/1000</f>
        <v>1.5503299999982119</v>
      </c>
      <c r="D15" s="8">
        <v>0</v>
      </c>
      <c r="E15" s="8">
        <v>0</v>
      </c>
      <c r="F15" s="8">
        <v>0</v>
      </c>
      <c r="G15" s="8">
        <v>0</v>
      </c>
      <c r="H15" s="8">
        <f>SUM(B15:G15)</f>
        <v>6.550429999992251</v>
      </c>
    </row>
    <row r="16" spans="2:8" s="1" customFormat="1" ht="12.75">
      <c r="B16" s="8"/>
      <c r="C16" s="8"/>
      <c r="D16" s="8"/>
      <c r="E16" s="8"/>
      <c r="F16" s="8"/>
      <c r="G16" s="8"/>
      <c r="H16" s="8"/>
    </row>
    <row r="17" spans="1:8" s="1" customFormat="1" ht="12.75">
      <c r="A17" s="1" t="s">
        <v>89</v>
      </c>
      <c r="B17" s="68"/>
      <c r="C17" s="69"/>
      <c r="D17" s="69"/>
      <c r="E17" s="69"/>
      <c r="F17" s="69">
        <f>+'[4]STATEMENT OF CHANGES IN EQUITY'!$F$11/1000</f>
        <v>354.91386</v>
      </c>
      <c r="G17" s="69"/>
      <c r="H17" s="70">
        <f>SUM(B17:G17)</f>
        <v>354.91386</v>
      </c>
    </row>
    <row r="18" spans="2:8" s="1" customFormat="1" ht="12.75">
      <c r="B18" s="8"/>
      <c r="C18" s="8"/>
      <c r="D18" s="8"/>
      <c r="E18" s="8"/>
      <c r="F18" s="8"/>
      <c r="G18" s="8"/>
      <c r="H18" s="8"/>
    </row>
    <row r="19" s="1" customFormat="1" ht="12.75">
      <c r="A19" s="1" t="s">
        <v>140</v>
      </c>
    </row>
    <row r="20" spans="1:8" s="1" customFormat="1" ht="12.75">
      <c r="A20" s="1" t="s">
        <v>90</v>
      </c>
      <c r="B20" s="8">
        <f aca="true" t="shared" si="0" ref="B20:G20">SUM(B17:B17)</f>
        <v>0</v>
      </c>
      <c r="C20" s="8">
        <f t="shared" si="0"/>
        <v>0</v>
      </c>
      <c r="D20" s="8">
        <f t="shared" si="0"/>
        <v>0</v>
      </c>
      <c r="E20" s="8">
        <f t="shared" si="0"/>
        <v>0</v>
      </c>
      <c r="F20" s="8">
        <f t="shared" si="0"/>
        <v>354.91386</v>
      </c>
      <c r="G20" s="8">
        <f t="shared" si="0"/>
        <v>0</v>
      </c>
      <c r="H20" s="8">
        <f>SUM(B20:G20)</f>
        <v>354.91386</v>
      </c>
    </row>
    <row r="21" spans="2:8" s="1" customFormat="1" ht="12.75">
      <c r="B21" s="8"/>
      <c r="C21" s="8"/>
      <c r="D21" s="8"/>
      <c r="E21" s="8"/>
      <c r="F21" s="8"/>
      <c r="G21" s="8"/>
      <c r="H21" s="8"/>
    </row>
    <row r="22" spans="1:8" s="1" customFormat="1" ht="12.75">
      <c r="A22" s="1" t="s">
        <v>129</v>
      </c>
      <c r="B22" s="8">
        <f>+'[4]STATEMENT OF CHANGES IN EQUITY'!B16/1000</f>
        <v>0</v>
      </c>
      <c r="C22" s="8">
        <f>+'[4]STATEMENT OF CHANGES IN EQUITY'!C16/1000</f>
        <v>0</v>
      </c>
      <c r="D22" s="8">
        <f>+'[4]STATEMENT OF CHANGES IN EQUITY'!D16/1000</f>
        <v>0</v>
      </c>
      <c r="E22" s="8">
        <f>+'[4]STATEMENT OF CHANGES IN EQUITY'!E16/1000</f>
        <v>0</v>
      </c>
      <c r="F22" s="8">
        <f>+'[4]STATEMENT OF CHANGES IN EQUITY'!F16/1000</f>
        <v>0</v>
      </c>
      <c r="G22" s="8">
        <f>+'[4]STATEMENT OF CHANGES IN EQUITY'!G16/1000</f>
        <v>6821.657302302314</v>
      </c>
      <c r="H22" s="8">
        <f>SUM(B22:G22)</f>
        <v>6821.657302302314</v>
      </c>
    </row>
    <row r="23" spans="2:8" s="1" customFormat="1" ht="12.75">
      <c r="B23" s="8"/>
      <c r="C23" s="8"/>
      <c r="D23" s="8"/>
      <c r="E23" s="8"/>
      <c r="F23" s="8"/>
      <c r="G23" s="8"/>
      <c r="H23" s="8"/>
    </row>
    <row r="24" spans="1:8" s="1" customFormat="1" ht="12.75">
      <c r="A24" s="1" t="s">
        <v>91</v>
      </c>
      <c r="B24" s="8">
        <f>+'[4]STATEMENT OF CHANGES IN EQUITY'!B18/1000</f>
        <v>0</v>
      </c>
      <c r="C24" s="8">
        <f>+'[4]STATEMENT OF CHANGES IN EQUITY'!C18/1000</f>
        <v>0</v>
      </c>
      <c r="D24" s="8">
        <f>+'[4]STATEMENT OF CHANGES IN EQUITY'!D18/1000</f>
        <v>0</v>
      </c>
      <c r="E24" s="8">
        <f>+'[4]STATEMENT OF CHANGES IN EQUITY'!E18/1000</f>
        <v>0</v>
      </c>
      <c r="F24" s="8">
        <f>+'[4]STATEMENT OF CHANGES IN EQUITY'!F18/1000</f>
        <v>0</v>
      </c>
      <c r="G24" s="8">
        <f>+'[4]STATEMENT OF CHANGES IN EQUITY'!G18/1000</f>
        <v>-4097.876200000001</v>
      </c>
      <c r="H24" s="8">
        <f>SUM(B24:G24)</f>
        <v>-4097.876200000001</v>
      </c>
    </row>
    <row r="25" spans="2:8" s="1" customFormat="1" ht="12.75">
      <c r="B25" s="8"/>
      <c r="C25" s="8"/>
      <c r="D25" s="8"/>
      <c r="E25" s="8"/>
      <c r="F25" s="8"/>
      <c r="G25" s="8"/>
      <c r="H25" s="8"/>
    </row>
    <row r="26" spans="1:9" s="1" customFormat="1" ht="13.5" thickBot="1">
      <c r="A26" s="1" t="s">
        <v>151</v>
      </c>
      <c r="B26" s="12">
        <f aca="true" t="shared" si="1" ref="B26:H26">+B13+B20+B22+B24+B15</f>
        <v>81957.5241</v>
      </c>
      <c r="C26" s="12">
        <f t="shared" si="1"/>
        <v>33913.786329999995</v>
      </c>
      <c r="D26" s="12">
        <f t="shared" si="1"/>
        <v>1259.157</v>
      </c>
      <c r="E26" s="12">
        <f t="shared" si="1"/>
        <v>1976.331</v>
      </c>
      <c r="F26" s="12">
        <f t="shared" si="1"/>
        <v>1066.29486</v>
      </c>
      <c r="G26" s="12">
        <f t="shared" si="1"/>
        <v>62371.424102302306</v>
      </c>
      <c r="H26" s="12">
        <f t="shared" si="1"/>
        <v>182544.5173923023</v>
      </c>
      <c r="I26" s="8">
        <f>+H26-'BS'!C64</f>
        <v>-5.756324389949441E-05</v>
      </c>
    </row>
    <row r="27" spans="2:9" s="1" customFormat="1" ht="13.5" thickTop="1">
      <c r="B27" s="18"/>
      <c r="C27" s="18"/>
      <c r="D27" s="18"/>
      <c r="E27" s="18"/>
      <c r="F27" s="18"/>
      <c r="G27" s="18"/>
      <c r="H27" s="18"/>
      <c r="I27" s="8"/>
    </row>
    <row r="28" spans="2:9" s="1" customFormat="1" ht="12.75">
      <c r="B28" s="18"/>
      <c r="C28" s="18"/>
      <c r="D28" s="18"/>
      <c r="E28" s="18"/>
      <c r="F28" s="18"/>
      <c r="G28" s="18"/>
      <c r="H28" s="18"/>
      <c r="I28" s="8"/>
    </row>
    <row r="29" spans="1:8" s="1" customFormat="1" ht="12.75">
      <c r="A29" s="1" t="s">
        <v>128</v>
      </c>
      <c r="B29" s="8">
        <v>81953</v>
      </c>
      <c r="C29" s="8">
        <v>33912</v>
      </c>
      <c r="D29" s="8">
        <v>2764</v>
      </c>
      <c r="E29" s="8">
        <v>1976</v>
      </c>
      <c r="F29" s="8">
        <v>584</v>
      </c>
      <c r="G29" s="8">
        <v>60032</v>
      </c>
      <c r="H29" s="8">
        <f>SUM(B29:G29)</f>
        <v>181221</v>
      </c>
    </row>
    <row r="30" spans="2:8" s="1" customFormat="1" ht="12.75">
      <c r="B30" s="8"/>
      <c r="C30" s="8"/>
      <c r="D30" s="8"/>
      <c r="E30" s="8"/>
      <c r="F30" s="8"/>
      <c r="G30" s="8"/>
      <c r="H30" s="8"/>
    </row>
    <row r="31" spans="1:8" s="1" customFormat="1" ht="12.75">
      <c r="A31" s="1" t="s">
        <v>89</v>
      </c>
      <c r="B31" s="77">
        <v>0</v>
      </c>
      <c r="C31" s="38">
        <v>0</v>
      </c>
      <c r="D31" s="38">
        <v>0</v>
      </c>
      <c r="E31" s="38">
        <v>0</v>
      </c>
      <c r="F31" s="38">
        <v>127</v>
      </c>
      <c r="G31" s="38">
        <v>0</v>
      </c>
      <c r="H31" s="78">
        <f>SUM(B31:G31)</f>
        <v>127</v>
      </c>
    </row>
    <row r="32" spans="2:8" s="1" customFormat="1" ht="12.75">
      <c r="B32" s="79"/>
      <c r="C32" s="18"/>
      <c r="D32" s="18"/>
      <c r="E32" s="18"/>
      <c r="F32" s="18"/>
      <c r="G32" s="18"/>
      <c r="H32" s="80"/>
    </row>
    <row r="33" spans="1:8" s="1" customFormat="1" ht="12.75">
      <c r="A33" s="1" t="s">
        <v>152</v>
      </c>
      <c r="B33" s="79"/>
      <c r="C33" s="18"/>
      <c r="D33" s="18"/>
      <c r="E33" s="18"/>
      <c r="F33" s="18"/>
      <c r="G33" s="18"/>
      <c r="H33" s="80"/>
    </row>
    <row r="34" spans="1:8" s="1" customFormat="1" ht="12.75">
      <c r="A34" s="1" t="s">
        <v>153</v>
      </c>
      <c r="B34" s="81">
        <v>0</v>
      </c>
      <c r="C34" s="11">
        <v>0</v>
      </c>
      <c r="D34" s="11">
        <v>-1505</v>
      </c>
      <c r="E34" s="11">
        <v>0</v>
      </c>
      <c r="F34" s="11">
        <v>0</v>
      </c>
      <c r="G34" s="11">
        <v>0</v>
      </c>
      <c r="H34" s="82">
        <f>SUM(B34:G34)</f>
        <v>-1505</v>
      </c>
    </row>
    <row r="35" spans="2:8" s="1" customFormat="1" ht="12.75">
      <c r="B35" s="8"/>
      <c r="C35" s="8"/>
      <c r="D35" s="8"/>
      <c r="E35" s="8"/>
      <c r="F35" s="8"/>
      <c r="G35" s="8"/>
      <c r="H35" s="8"/>
    </row>
    <row r="36" s="1" customFormat="1" ht="12.75">
      <c r="A36" s="1" t="s">
        <v>140</v>
      </c>
    </row>
    <row r="37" spans="1:8" s="1" customFormat="1" ht="12.75">
      <c r="A37" s="1" t="s">
        <v>90</v>
      </c>
      <c r="B37" s="8">
        <f aca="true" t="shared" si="2" ref="B37:G37">SUM(B31:B34)</f>
        <v>0</v>
      </c>
      <c r="C37" s="8">
        <f t="shared" si="2"/>
        <v>0</v>
      </c>
      <c r="D37" s="8">
        <f t="shared" si="2"/>
        <v>-1505</v>
      </c>
      <c r="E37" s="8">
        <f t="shared" si="2"/>
        <v>0</v>
      </c>
      <c r="F37" s="8">
        <f t="shared" si="2"/>
        <v>127</v>
      </c>
      <c r="G37" s="8">
        <f t="shared" si="2"/>
        <v>0</v>
      </c>
      <c r="H37" s="8">
        <f>SUM(B37:G37)</f>
        <v>-1378</v>
      </c>
    </row>
    <row r="38" spans="2:8" s="1" customFormat="1" ht="12.75">
      <c r="B38" s="8"/>
      <c r="C38" s="8"/>
      <c r="D38" s="8"/>
      <c r="E38" s="8"/>
      <c r="F38" s="8"/>
      <c r="G38" s="8"/>
      <c r="H38" s="8"/>
    </row>
    <row r="39" spans="1:8" s="1" customFormat="1" ht="12.75">
      <c r="A39" s="1" t="s">
        <v>129</v>
      </c>
      <c r="B39" s="8">
        <f>+'[4]STATEMENT OF CHANGES IN EQUITY'!B32/1000</f>
        <v>0</v>
      </c>
      <c r="C39" s="8">
        <f>+'[4]STATEMENT OF CHANGES IN EQUITY'!C32/1000</f>
        <v>0</v>
      </c>
      <c r="D39" s="8">
        <f>+'[4]STATEMENT OF CHANGES IN EQUITY'!D32/1000</f>
        <v>0</v>
      </c>
      <c r="E39" s="8">
        <f>+'[4]STATEMENT OF CHANGES IN EQUITY'!E32/1000</f>
        <v>0</v>
      </c>
      <c r="F39" s="8">
        <f>+'[4]STATEMENT OF CHANGES IN EQUITY'!F32/1000</f>
        <v>0</v>
      </c>
      <c r="G39" s="8">
        <v>3714</v>
      </c>
      <c r="H39" s="8">
        <f>SUM(B39:G39)</f>
        <v>3714</v>
      </c>
    </row>
    <row r="40" spans="2:8" s="1" customFormat="1" ht="12.75">
      <c r="B40" s="8"/>
      <c r="C40" s="8"/>
      <c r="D40" s="8"/>
      <c r="E40" s="8"/>
      <c r="F40" s="8"/>
      <c r="G40" s="8"/>
      <c r="H40" s="8"/>
    </row>
    <row r="41" spans="1:8" s="1" customFormat="1" ht="12.75">
      <c r="A41" s="1" t="s">
        <v>91</v>
      </c>
      <c r="B41" s="8">
        <f>+'[4]STATEMENT OF CHANGES IN EQUITY'!B34/1000</f>
        <v>0</v>
      </c>
      <c r="C41" s="8">
        <f>+'[4]STATEMENT OF CHANGES IN EQUITY'!C34/1000</f>
        <v>0</v>
      </c>
      <c r="D41" s="8">
        <f>+'[4]STATEMENT OF CHANGES IN EQUITY'!D34/1000</f>
        <v>0</v>
      </c>
      <c r="E41" s="8">
        <f>+'[4]STATEMENT OF CHANGES IN EQUITY'!E34/1000</f>
        <v>0</v>
      </c>
      <c r="F41" s="8">
        <f>+'[4]STATEMENT OF CHANGES IN EQUITY'!F34/1000</f>
        <v>0</v>
      </c>
      <c r="G41" s="8">
        <v>-4098</v>
      </c>
      <c r="H41" s="8">
        <f>SUM(B41:G41)</f>
        <v>-4098</v>
      </c>
    </row>
    <row r="42" spans="2:8" s="1" customFormat="1" ht="12.75">
      <c r="B42" s="8"/>
      <c r="C42" s="8"/>
      <c r="D42" s="8"/>
      <c r="E42" s="8"/>
      <c r="F42" s="8"/>
      <c r="G42" s="8"/>
      <c r="H42" s="8"/>
    </row>
    <row r="43" spans="1:9" s="1" customFormat="1" ht="13.5" thickBot="1">
      <c r="A43" s="1" t="s">
        <v>110</v>
      </c>
      <c r="B43" s="12">
        <f aca="true" t="shared" si="3" ref="B43:H43">+B29+B37+B39+B41</f>
        <v>81953</v>
      </c>
      <c r="C43" s="12">
        <f t="shared" si="3"/>
        <v>33912</v>
      </c>
      <c r="D43" s="12">
        <f t="shared" si="3"/>
        <v>1259</v>
      </c>
      <c r="E43" s="12">
        <f t="shared" si="3"/>
        <v>1976</v>
      </c>
      <c r="F43" s="12">
        <f t="shared" si="3"/>
        <v>711</v>
      </c>
      <c r="G43" s="12">
        <f t="shared" si="3"/>
        <v>59648</v>
      </c>
      <c r="H43" s="12">
        <f t="shared" si="3"/>
        <v>179459</v>
      </c>
      <c r="I43" s="8"/>
    </row>
    <row r="44" spans="2:9" s="1" customFormat="1" ht="13.5" thickTop="1">
      <c r="B44" s="18"/>
      <c r="C44" s="18"/>
      <c r="D44" s="18"/>
      <c r="E44" s="18"/>
      <c r="F44" s="18"/>
      <c r="G44" s="18"/>
      <c r="H44" s="18"/>
      <c r="I44" s="8"/>
    </row>
    <row r="45" spans="2:8" s="1" customFormat="1" ht="12.75">
      <c r="B45" s="8"/>
      <c r="C45" s="8"/>
      <c r="D45" s="8"/>
      <c r="E45" s="8"/>
      <c r="F45" s="8"/>
      <c r="G45" s="8"/>
      <c r="H45" s="8"/>
    </row>
    <row r="46" spans="1:7" s="1" customFormat="1" ht="13.5">
      <c r="A46" s="16" t="s">
        <v>106</v>
      </c>
      <c r="B46" s="8"/>
      <c r="C46" s="8"/>
      <c r="D46" s="8"/>
      <c r="E46" s="8"/>
      <c r="F46" s="8"/>
      <c r="G46" s="8"/>
    </row>
    <row r="47" spans="1:8" s="1" customFormat="1" ht="13.5">
      <c r="A47" s="16" t="s">
        <v>124</v>
      </c>
      <c r="B47" s="8"/>
      <c r="C47" s="8"/>
      <c r="D47" s="8"/>
      <c r="E47" s="8"/>
      <c r="F47" s="8"/>
      <c r="G47" s="8"/>
      <c r="H47" s="8"/>
    </row>
    <row r="48" spans="2:8" s="1" customFormat="1" ht="12.75">
      <c r="B48" s="8"/>
      <c r="C48" s="8"/>
      <c r="D48" s="8"/>
      <c r="E48" s="8"/>
      <c r="F48" s="8"/>
      <c r="G48" s="8"/>
      <c r="H48" s="8"/>
    </row>
    <row r="49" spans="2:8" s="1" customFormat="1" ht="12.75">
      <c r="B49" s="8"/>
      <c r="C49" s="8"/>
      <c r="D49" s="8"/>
      <c r="E49" s="8"/>
      <c r="F49" s="8"/>
      <c r="G49" s="8"/>
      <c r="H49" s="8"/>
    </row>
    <row r="50" spans="2:8" s="1" customFormat="1" ht="12.75">
      <c r="B50" s="8"/>
      <c r="C50" s="8"/>
      <c r="D50" s="8"/>
      <c r="E50" s="8"/>
      <c r="F50" s="8"/>
      <c r="G50" s="8"/>
      <c r="H50" s="8"/>
    </row>
    <row r="51" spans="2:8" s="1" customFormat="1" ht="12.75">
      <c r="B51" s="8"/>
      <c r="C51" s="8"/>
      <c r="D51" s="8"/>
      <c r="E51" s="8"/>
      <c r="F51" s="8"/>
      <c r="G51" s="8"/>
      <c r="H51" s="8"/>
    </row>
    <row r="52" spans="2:8" s="1" customFormat="1" ht="12.75">
      <c r="B52" s="8"/>
      <c r="C52" s="8"/>
      <c r="D52" s="8"/>
      <c r="E52" s="8"/>
      <c r="F52" s="8"/>
      <c r="G52" s="8"/>
      <c r="H52" s="8"/>
    </row>
    <row r="53" spans="2:8" s="1" customFormat="1" ht="12.75">
      <c r="B53" s="8"/>
      <c r="C53" s="8"/>
      <c r="D53" s="8"/>
      <c r="E53" s="8"/>
      <c r="F53" s="8"/>
      <c r="G53" s="8"/>
      <c r="H53" s="8"/>
    </row>
    <row r="54" spans="2:8" s="1" customFormat="1" ht="12.75">
      <c r="B54" s="8"/>
      <c r="C54" s="8"/>
      <c r="D54" s="8"/>
      <c r="E54" s="8"/>
      <c r="F54" s="8"/>
      <c r="G54" s="8"/>
      <c r="H54" s="8"/>
    </row>
    <row r="55" spans="2:8" s="1" customFormat="1" ht="12.75">
      <c r="B55" s="8"/>
      <c r="C55" s="8"/>
      <c r="D55" s="8"/>
      <c r="E55" s="8"/>
      <c r="F55" s="8"/>
      <c r="G55" s="8"/>
      <c r="H55" s="8"/>
    </row>
    <row r="56" spans="2:8" s="1" customFormat="1" ht="12.75">
      <c r="B56" s="8"/>
      <c r="C56" s="8"/>
      <c r="D56" s="8"/>
      <c r="E56" s="8"/>
      <c r="F56" s="8"/>
      <c r="G56" s="8"/>
      <c r="H56" s="8"/>
    </row>
    <row r="57" spans="2:8" s="1" customFormat="1" ht="12.75">
      <c r="B57" s="8"/>
      <c r="C57" s="8"/>
      <c r="D57" s="8"/>
      <c r="E57" s="8"/>
      <c r="F57" s="8"/>
      <c r="G57" s="8"/>
      <c r="H57" s="8"/>
    </row>
    <row r="58" spans="2:8" s="1" customFormat="1" ht="12.75">
      <c r="B58" s="8"/>
      <c r="C58" s="8"/>
      <c r="D58" s="8"/>
      <c r="E58" s="8"/>
      <c r="F58" s="8"/>
      <c r="G58" s="8"/>
      <c r="H58" s="8"/>
    </row>
    <row r="59" spans="2:8" s="1" customFormat="1" ht="12.75">
      <c r="B59" s="8"/>
      <c r="C59" s="8"/>
      <c r="D59" s="8"/>
      <c r="E59" s="8"/>
      <c r="F59" s="8"/>
      <c r="G59" s="8"/>
      <c r="H59" s="8"/>
    </row>
    <row r="60" spans="2:8" s="1" customFormat="1" ht="12.75">
      <c r="B60" s="8"/>
      <c r="C60" s="8"/>
      <c r="D60" s="8"/>
      <c r="E60" s="8"/>
      <c r="F60" s="8"/>
      <c r="G60" s="8"/>
      <c r="H60" s="8"/>
    </row>
    <row r="61" spans="2:8" s="1" customFormat="1" ht="12.75">
      <c r="B61" s="8"/>
      <c r="C61" s="8"/>
      <c r="D61" s="8"/>
      <c r="E61" s="8"/>
      <c r="F61" s="8"/>
      <c r="G61" s="8"/>
      <c r="H61" s="8"/>
    </row>
    <row r="62" spans="2:8" s="1" customFormat="1" ht="12.75">
      <c r="B62" s="8"/>
      <c r="C62" s="8"/>
      <c r="D62" s="8"/>
      <c r="E62" s="8"/>
      <c r="F62" s="8"/>
      <c r="G62" s="8"/>
      <c r="H62" s="8"/>
    </row>
    <row r="63" spans="2:8" s="1" customFormat="1" ht="12.75">
      <c r="B63" s="8"/>
      <c r="C63" s="8"/>
      <c r="D63" s="8"/>
      <c r="E63" s="8"/>
      <c r="F63" s="8"/>
      <c r="G63" s="8"/>
      <c r="H63" s="8"/>
    </row>
    <row r="64" spans="2:8" s="1" customFormat="1" ht="12.75">
      <c r="B64" s="8"/>
      <c r="C64" s="8"/>
      <c r="D64" s="8"/>
      <c r="E64" s="8"/>
      <c r="F64" s="8"/>
      <c r="G64" s="8"/>
      <c r="H64" s="8"/>
    </row>
    <row r="65" spans="2:8" s="1" customFormat="1" ht="12.75">
      <c r="B65" s="8"/>
      <c r="C65" s="8"/>
      <c r="D65" s="8"/>
      <c r="E65" s="8"/>
      <c r="F65" s="8"/>
      <c r="G65" s="8"/>
      <c r="H65" s="8"/>
    </row>
    <row r="66" spans="2:8" s="1" customFormat="1" ht="12.75">
      <c r="B66" s="8"/>
      <c r="C66" s="8"/>
      <c r="D66" s="8"/>
      <c r="E66" s="8"/>
      <c r="F66" s="8"/>
      <c r="G66" s="8"/>
      <c r="H66" s="8"/>
    </row>
    <row r="67" spans="2:8" s="1" customFormat="1" ht="12.75">
      <c r="B67" s="8"/>
      <c r="C67" s="8"/>
      <c r="D67" s="8"/>
      <c r="E67" s="8"/>
      <c r="F67" s="8"/>
      <c r="G67" s="8"/>
      <c r="H67" s="8"/>
    </row>
    <row r="68" spans="2:8" s="1" customFormat="1" ht="12.75">
      <c r="B68" s="8"/>
      <c r="C68" s="8"/>
      <c r="D68" s="8"/>
      <c r="E68" s="8"/>
      <c r="F68" s="8"/>
      <c r="G68" s="8"/>
      <c r="H68" s="8"/>
    </row>
    <row r="69" spans="2:8" s="1" customFormat="1" ht="12.75">
      <c r="B69" s="8"/>
      <c r="C69" s="8"/>
      <c r="D69" s="8"/>
      <c r="E69" s="8"/>
      <c r="F69" s="8"/>
      <c r="G69" s="8"/>
      <c r="H69" s="8"/>
    </row>
    <row r="70" spans="2:8" s="1" customFormat="1" ht="12.75">
      <c r="B70" s="8"/>
      <c r="C70" s="8"/>
      <c r="D70" s="8"/>
      <c r="E70" s="8"/>
      <c r="F70" s="8"/>
      <c r="G70" s="8"/>
      <c r="H70" s="8"/>
    </row>
    <row r="71" spans="2:8" s="1" customFormat="1" ht="12.75">
      <c r="B71" s="8"/>
      <c r="C71" s="8"/>
      <c r="D71" s="8"/>
      <c r="E71" s="8"/>
      <c r="F71" s="8"/>
      <c r="G71" s="8"/>
      <c r="H71" s="8"/>
    </row>
    <row r="72" spans="2:8" s="1" customFormat="1" ht="12.75">
      <c r="B72" s="8"/>
      <c r="C72" s="8"/>
      <c r="D72" s="8"/>
      <c r="E72" s="8"/>
      <c r="F72" s="8"/>
      <c r="G72" s="8"/>
      <c r="H72" s="8"/>
    </row>
    <row r="73" spans="2:8" s="1" customFormat="1" ht="12.75">
      <c r="B73" s="8"/>
      <c r="C73" s="8"/>
      <c r="D73" s="8"/>
      <c r="E73" s="8"/>
      <c r="F73" s="8"/>
      <c r="G73" s="8"/>
      <c r="H73" s="8"/>
    </row>
    <row r="74" spans="2:8" s="1" customFormat="1" ht="12.75">
      <c r="B74" s="8"/>
      <c r="C74" s="8"/>
      <c r="D74" s="8"/>
      <c r="E74" s="8"/>
      <c r="F74" s="8"/>
      <c r="G74" s="8"/>
      <c r="H74" s="8"/>
    </row>
    <row r="75" spans="2:8" s="1" customFormat="1" ht="12.75">
      <c r="B75" s="8"/>
      <c r="C75" s="8"/>
      <c r="D75" s="8"/>
      <c r="E75" s="8"/>
      <c r="F75" s="8"/>
      <c r="G75" s="8"/>
      <c r="H75" s="8"/>
    </row>
    <row r="76" spans="2:8" s="1" customFormat="1" ht="12.75">
      <c r="B76" s="8"/>
      <c r="C76" s="8"/>
      <c r="D76" s="8"/>
      <c r="E76" s="8"/>
      <c r="F76" s="8"/>
      <c r="G76" s="8"/>
      <c r="H76" s="8"/>
    </row>
    <row r="77" spans="2:8" s="1" customFormat="1" ht="12.75">
      <c r="B77" s="8"/>
      <c r="C77" s="8"/>
      <c r="D77" s="8"/>
      <c r="E77" s="8"/>
      <c r="F77" s="8"/>
      <c r="G77" s="8"/>
      <c r="H77" s="8"/>
    </row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</sheetData>
  <mergeCells count="7">
    <mergeCell ref="F8:F10"/>
    <mergeCell ref="G8:G10"/>
    <mergeCell ref="H8:H10"/>
    <mergeCell ref="B8:B10"/>
    <mergeCell ref="C8:C10"/>
    <mergeCell ref="D8:D10"/>
    <mergeCell ref="E8:E10"/>
  </mergeCells>
  <printOptions/>
  <pageMargins left="1.5" right="0.5" top="1.25" bottom="0.5" header="0.25" footer="0.2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2004-05-19T03:50:39Z</cp:lastPrinted>
  <dcterms:created xsi:type="dcterms:W3CDTF">2002-11-18T01:32:42Z</dcterms:created>
  <dcterms:modified xsi:type="dcterms:W3CDTF">2004-02-17T09:21:17Z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